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80" windowHeight="6165" activeTab="4"/>
  </bookViews>
  <sheets>
    <sheet name="Expositor" sheetId="1" r:id="rId1"/>
    <sheet name="Criador" sheetId="2" r:id="rId2"/>
    <sheet name="Criador Expositor" sheetId="3" r:id="rId3"/>
    <sheet name="Exp. c. ajuste" sheetId="4" r:id="rId4"/>
    <sheet name="Criad. c. ajuste" sheetId="5" r:id="rId5"/>
    <sheet name="Criad.Exp. c. ajuste" sheetId="6" r:id="rId6"/>
    <sheet name="Ranking Parcial" sheetId="7" r:id="rId7"/>
    <sheet name="Jornal" sheetId="8" r:id="rId8"/>
    <sheet name="Ranking Centro-Oeste" sheetId="9" r:id="rId9"/>
    <sheet name="Ranking Sudeste" sheetId="10" r:id="rId10"/>
  </sheets>
  <definedNames>
    <definedName name="_xlnm._FilterDatabase" localSheetId="1" hidden="1">'Criador'!$A$4:$AE$98</definedName>
    <definedName name="_xlnm._FilterDatabase" localSheetId="2" hidden="1">'Criador Expositor'!$A$4:$AM$68</definedName>
    <definedName name="_xlnm._FilterDatabase" localSheetId="0" hidden="1">'Expositor'!$A$4:$AD$104</definedName>
    <definedName name="_xlnm.Print_Area" localSheetId="4">'Criad. c. ajuste'!$A:$IV</definedName>
    <definedName name="_xlnm.Print_Area" localSheetId="9">'Ranking Sudeste'!$A:$IV</definedName>
  </definedNames>
  <calcPr fullCalcOnLoad="1"/>
</workbook>
</file>

<file path=xl/sharedStrings.xml><?xml version="1.0" encoding="utf-8"?>
<sst xmlns="http://schemas.openxmlformats.org/spreadsheetml/2006/main" count="2252" uniqueCount="310">
  <si>
    <t>Nacional</t>
  </si>
  <si>
    <t>TOTAL</t>
  </si>
  <si>
    <t>OURO</t>
  </si>
  <si>
    <t>Fabrício Borges Santos</t>
  </si>
  <si>
    <t>UF</t>
  </si>
  <si>
    <t>BA</t>
  </si>
  <si>
    <t>Dário Fagundes Costa Filho</t>
  </si>
  <si>
    <t>MG</t>
  </si>
  <si>
    <t>Alexandre de Souza Camargos</t>
  </si>
  <si>
    <t>DF</t>
  </si>
  <si>
    <t>Ataide Assis Ataide</t>
  </si>
  <si>
    <t>Flávio Paiva Ferrari</t>
  </si>
  <si>
    <t>GO</t>
  </si>
  <si>
    <t>Izaú Machado da Nóbrega Filho</t>
  </si>
  <si>
    <t>SP</t>
  </si>
  <si>
    <t>Condomínio Garden Horse</t>
  </si>
  <si>
    <t>José Augusto de Lima Ferreira</t>
  </si>
  <si>
    <t>RS</t>
  </si>
  <si>
    <t>Jurandir Marcon</t>
  </si>
  <si>
    <t>Daniel Donizeti Marcon</t>
  </si>
  <si>
    <t>Felipe dos Anjos Martins</t>
  </si>
  <si>
    <t>PE</t>
  </si>
  <si>
    <t>0.37</t>
  </si>
  <si>
    <t>Orlando Monteiro de Melo</t>
  </si>
  <si>
    <t>RN</t>
  </si>
  <si>
    <t>Antônio Fernandes dos Anjos</t>
  </si>
  <si>
    <t>PB</t>
  </si>
  <si>
    <t>Nilton Zirbes de Oliveira</t>
  </si>
  <si>
    <t>Marcelo Tellechea Cairoli</t>
  </si>
  <si>
    <t>Dário Fagundes Costa Neto</t>
  </si>
  <si>
    <t>CRIADOR/EXPOSITOR</t>
  </si>
  <si>
    <t>CRIADOR</t>
  </si>
  <si>
    <t>EXPOSITOR</t>
  </si>
  <si>
    <t>PRATA</t>
  </si>
  <si>
    <t>BRONZE</t>
  </si>
  <si>
    <t>SE</t>
  </si>
  <si>
    <t>Guilherme Antônio Ribeiro Fernandes</t>
  </si>
  <si>
    <t>RJ</t>
  </si>
  <si>
    <t>Dante Pinto Lucas</t>
  </si>
  <si>
    <t>Márcio Antônio Dias</t>
  </si>
  <si>
    <t>Espólio de Alfredo Hélio Ribeiro Padovan</t>
  </si>
  <si>
    <t>Giovanna, Gabriela e Raul Marcon</t>
  </si>
  <si>
    <t>Vasco Antônio da Costa Gama Filho</t>
  </si>
  <si>
    <t>Salvador/BA</t>
  </si>
  <si>
    <t>Campos/RJ</t>
  </si>
  <si>
    <t>Goiânia/GO</t>
  </si>
  <si>
    <t>Betim/MG</t>
  </si>
  <si>
    <t>Brasília/DF</t>
  </si>
  <si>
    <t>Pelotas/RS</t>
  </si>
  <si>
    <t>Alexandre Vieira Prado Filho</t>
  </si>
  <si>
    <t>Recife/PE</t>
  </si>
  <si>
    <t>Rogério José Mergulhão Júnior</t>
  </si>
  <si>
    <t>0.98</t>
  </si>
  <si>
    <t>João Pessoa</t>
  </si>
  <si>
    <t>21 a 28/3/04</t>
  </si>
  <si>
    <t>Manoel R. Junqueira Filho</t>
  </si>
  <si>
    <t>Esp. Alfredo Hélio Ribeiro Padovan</t>
  </si>
  <si>
    <t>Afonso Celso Fernandes A.  de Oliveira</t>
  </si>
  <si>
    <t>Mário Gil e Sandra Becker G. Rodrigues</t>
  </si>
  <si>
    <t>Afonso Celso Fernandes A. de Oliveira</t>
  </si>
  <si>
    <t>Gilberto Resendes Peres</t>
  </si>
  <si>
    <t>José Agusto de Lima Ferreira</t>
  </si>
  <si>
    <t>03 e 04/04/04</t>
  </si>
  <si>
    <t>0.65</t>
  </si>
  <si>
    <t>0.26</t>
  </si>
  <si>
    <t>Gravatá/PE</t>
  </si>
  <si>
    <t>16/05/04</t>
  </si>
  <si>
    <t>Gustavo Herter Terra</t>
  </si>
  <si>
    <t>01 a 09/5/04</t>
  </si>
  <si>
    <t>0.84</t>
  </si>
  <si>
    <t>Charles Rodrigo de A. Jacyntho</t>
  </si>
  <si>
    <t>Anderson Racilan Souto</t>
  </si>
  <si>
    <t>Marco Antônio Campos Pinto</t>
  </si>
  <si>
    <t>Luis Gonzaga Martins</t>
  </si>
  <si>
    <t>Ricardo dos Reis Espíndola</t>
  </si>
  <si>
    <t>07 a 13/06/04</t>
  </si>
  <si>
    <t>2.29</t>
  </si>
  <si>
    <t>Mary Cochrane Cintra Gordinho</t>
  </si>
  <si>
    <t>Patrícia Jeunon de Alencar e Lombardi</t>
  </si>
  <si>
    <t>Paulo Sérgio Wicks Amaral</t>
  </si>
  <si>
    <t>André Luiz Martins Veloso</t>
  </si>
  <si>
    <t>Marcos e Bruna Menicucci</t>
  </si>
  <si>
    <t>Marcela Gomes Ataide</t>
  </si>
  <si>
    <t>Condomínio Enéias do Marcon</t>
  </si>
  <si>
    <t>Ana Christina de V. Moreira</t>
  </si>
  <si>
    <t>Frederico Lima Pessanha Vittori</t>
  </si>
  <si>
    <t>Carlos Alberto Ramos de Faria</t>
  </si>
  <si>
    <t>Guilherme Silva Diniz</t>
  </si>
  <si>
    <t>Marcelo Lamounier</t>
  </si>
  <si>
    <t>Euler Miranda da Costa</t>
  </si>
  <si>
    <t>Patrícia Jeunon de A.e Lombardi</t>
  </si>
  <si>
    <t>Perpétua Maria Barreto Wanderley</t>
  </si>
  <si>
    <t>MS</t>
  </si>
  <si>
    <t>Marcos e Bruna Gomes Menicucci</t>
  </si>
  <si>
    <t>Ana Christina Vasconcellos Moreira</t>
  </si>
  <si>
    <t>Daniel Donizetti Marcon</t>
  </si>
  <si>
    <t>Chistiano Savastano Naves</t>
  </si>
  <si>
    <t>Patrícia Jeunon de A. e Lombardi</t>
  </si>
  <si>
    <t>07 a 11/07/04</t>
  </si>
  <si>
    <t>Sérgio Luiz Gussen dos Santos</t>
  </si>
  <si>
    <t>0.82</t>
  </si>
  <si>
    <t>Jacareí/SP</t>
  </si>
  <si>
    <t>11 a 15/07/04</t>
  </si>
  <si>
    <t>Roberto Gomes</t>
  </si>
  <si>
    <t>0.27</t>
  </si>
  <si>
    <t>05 a 08/8/04</t>
  </si>
  <si>
    <t>Haras Galopinho</t>
  </si>
  <si>
    <t>18 a 24/5/04</t>
  </si>
  <si>
    <t>0.69</t>
  </si>
  <si>
    <t>Danilo José Lopes de Araújo</t>
  </si>
  <si>
    <t>Vilobaldo Meira de Oliveira Júnior</t>
  </si>
  <si>
    <t>Estadual/MG</t>
  </si>
  <si>
    <t>13 a 15/08/04</t>
  </si>
  <si>
    <t>José Geraldo Coutinho</t>
  </si>
  <si>
    <t>Bezerros/PE</t>
  </si>
  <si>
    <t>0.70</t>
  </si>
  <si>
    <t>20 e 21/8/04</t>
  </si>
  <si>
    <t>Expointer/RS</t>
  </si>
  <si>
    <t>28/8 a 05/9/04</t>
  </si>
  <si>
    <t>0.81</t>
  </si>
  <si>
    <t>03 a 05/09/04</t>
  </si>
  <si>
    <t>0.43</t>
  </si>
  <si>
    <t>Valternei Silva Vieira</t>
  </si>
  <si>
    <t>0.59</t>
  </si>
  <si>
    <t>10 a 12/09/04</t>
  </si>
  <si>
    <t>B.Hte/MG</t>
  </si>
  <si>
    <t>08 a 10/10/04</t>
  </si>
  <si>
    <t>0.35</t>
  </si>
  <si>
    <t>0.23</t>
  </si>
  <si>
    <t>Aracajú/SE</t>
  </si>
  <si>
    <t>06 e 07/11/04</t>
  </si>
  <si>
    <t>Nordestina</t>
  </si>
  <si>
    <t>07 a 14/11/04</t>
  </si>
  <si>
    <t>0.47</t>
  </si>
  <si>
    <t>Jaime Barros de Moura</t>
  </si>
  <si>
    <t>Fenagro</t>
  </si>
  <si>
    <t>0.57</t>
  </si>
  <si>
    <t>27/11 a 05/12/04</t>
  </si>
  <si>
    <t>Vitório Brito Lorenzo</t>
  </si>
  <si>
    <t>Luiz Carlos Casiero</t>
  </si>
  <si>
    <t>27/3 a 03/4/05</t>
  </si>
  <si>
    <t>Euclimar Andrade Oliveira</t>
  </si>
  <si>
    <t>Amon Borba Rodrigues</t>
  </si>
  <si>
    <t xml:space="preserve">Luis Gonzaga Martins </t>
  </si>
  <si>
    <t>José Bastos Cruz Sobrinho</t>
  </si>
  <si>
    <t>03 a 10/04/05</t>
  </si>
  <si>
    <t>0.63</t>
  </si>
  <si>
    <t>0.39</t>
  </si>
  <si>
    <t>06 a 08/5/05</t>
  </si>
  <si>
    <t>20 a 22/5/05</t>
  </si>
  <si>
    <t>1.13</t>
  </si>
  <si>
    <t>01 a 05/6/05</t>
  </si>
  <si>
    <t>Charles Rodrigo de Azevedo Jacyntho</t>
  </si>
  <si>
    <t>Rodrigo de Siqueira Rodrigues</t>
  </si>
  <si>
    <t>Paudalho/PE</t>
  </si>
  <si>
    <t>02 e 03/07/05</t>
  </si>
  <si>
    <t>06 a 10/7/05</t>
  </si>
  <si>
    <t>0.92</t>
  </si>
  <si>
    <t>Metropolitana</t>
  </si>
  <si>
    <t>18 a 21/8/05</t>
  </si>
  <si>
    <t>0.93</t>
  </si>
  <si>
    <t>Bezerros</t>
  </si>
  <si>
    <t>27 e 28/8/05</t>
  </si>
  <si>
    <t>0.64</t>
  </si>
  <si>
    <t>Marcelo Becker Gil Rodrigues</t>
  </si>
  <si>
    <t>Mário Gil Rodrigues Filho</t>
  </si>
  <si>
    <t>02 a 04/9/05</t>
  </si>
  <si>
    <t>0.36</t>
  </si>
  <si>
    <t>C. Grande/PB</t>
  </si>
  <si>
    <t>18 a 25/9/05</t>
  </si>
  <si>
    <t>0.54</t>
  </si>
  <si>
    <t>Exporural</t>
  </si>
  <si>
    <t>07 a 14/8/05</t>
  </si>
  <si>
    <t>F. Santana/BA</t>
  </si>
  <si>
    <t>05 a 11/9/05</t>
  </si>
  <si>
    <t>Natal/RN</t>
  </si>
  <si>
    <t>08 a 15/10/05</t>
  </si>
  <si>
    <t>Elimalba Dias da Silva</t>
  </si>
  <si>
    <t>Expointer</t>
  </si>
  <si>
    <t>28/8 a 04/9/05</t>
  </si>
  <si>
    <t>Mário Gil Rodrigues Neto</t>
  </si>
  <si>
    <t>Haras 7 Netos</t>
  </si>
  <si>
    <t>Sérgio Stamato Filho</t>
  </si>
  <si>
    <t>Ataíde Assis Ataíde</t>
  </si>
  <si>
    <t>Ana Maria Vasconcellos Osório e Filhos</t>
  </si>
  <si>
    <t>José Maurício Santos Ferreira</t>
  </si>
  <si>
    <t>Alexandre de Souza Camargos e Filhos</t>
  </si>
  <si>
    <t>Elísio Antônio de Souza Gesualdo</t>
  </si>
  <si>
    <t>Mariana Lopes de Araújo Gomes da Silva</t>
  </si>
  <si>
    <t>André Aparecido de Oliveira e Filhos</t>
  </si>
  <si>
    <t>Mário José Lopes</t>
  </si>
  <si>
    <t>Luiz Fernando Gonçalves</t>
  </si>
  <si>
    <t>Roberto Sérgio Ribeiro Coutinho Teixeira</t>
  </si>
  <si>
    <t>12 a 17/04/11</t>
  </si>
  <si>
    <t>Pedro da Silva Corrêa de O. Andrade Neto</t>
  </si>
  <si>
    <t>Fábio Corrêa de Oliveira Andrade Neto</t>
  </si>
  <si>
    <t>Angelo Sales da Silveira</t>
  </si>
  <si>
    <t>Condomínio Prado's-Ribalta</t>
  </si>
  <si>
    <t>Condomínio Prado's Hino</t>
  </si>
  <si>
    <t>Condomínio AF &amp; RF</t>
  </si>
  <si>
    <t>Condomínio Veludo de Avaré</t>
  </si>
  <si>
    <t>Estadual</t>
  </si>
  <si>
    <t>23 a 29/05/11</t>
  </si>
  <si>
    <t>Daniel D. Marcon</t>
  </si>
  <si>
    <t>Isabela Cançado Cardoso</t>
  </si>
  <si>
    <t>George e Daniela Maria Ribeiro Marinuzzi</t>
  </si>
  <si>
    <t>Adair Manoel de Rezende e Filhos</t>
  </si>
  <si>
    <t>César Menotti da Silva</t>
  </si>
  <si>
    <t>Reiner Ludwig Gentz</t>
  </si>
  <si>
    <t>Vicente Cunha Coura</t>
  </si>
  <si>
    <t>Adair Manoel de Rezende</t>
  </si>
  <si>
    <t>Augusto Addeu</t>
  </si>
  <si>
    <t>Agropecuária Terra dos Vikings Ltda</t>
  </si>
  <si>
    <t>Carlos Eduardo Porto Miglino</t>
  </si>
  <si>
    <t>Leonardo e Gustavo Caringi Velloso</t>
  </si>
  <si>
    <t>07 a 10/07/11</t>
  </si>
  <si>
    <t>Paulo Pereira Rangel</t>
  </si>
  <si>
    <t>Salvador Marques Gouvêa</t>
  </si>
  <si>
    <t>Antônio Carlos Rocha de Oliveira e Filhos</t>
  </si>
  <si>
    <t>Mayky de Souza Caetano</t>
  </si>
  <si>
    <t>Tupanciretã/RS</t>
  </si>
  <si>
    <t>25 a 29/05/11</t>
  </si>
  <si>
    <t>Rodrigo, Antônia e Felipe Terra</t>
  </si>
  <si>
    <t>Ana Victória Mello Dutra</t>
  </si>
  <si>
    <t>João Ignácio e Maria Helena Luz Montano Coelho</t>
  </si>
  <si>
    <t>José Walter Lopes de Castro</t>
  </si>
  <si>
    <t>Mário Eduardo Ramos da Silveira</t>
  </si>
  <si>
    <t>Ana Victória Melo Dutra</t>
  </si>
  <si>
    <t>28 a 29/05/11</t>
  </si>
  <si>
    <t>Condomínio Guaraná</t>
  </si>
  <si>
    <t>Carlos Eugênio de Souza Ferreira</t>
  </si>
  <si>
    <t>Ana Maria Vasconcellos Osório</t>
  </si>
  <si>
    <t>Moisés Ribeiro Sobral Lima</t>
  </si>
  <si>
    <t>Miguel Frederico Coatti</t>
  </si>
  <si>
    <t>Jan Monteiro de Melo</t>
  </si>
  <si>
    <t>Marcos Vieira Serra</t>
  </si>
  <si>
    <t>Itapetinga/BA</t>
  </si>
  <si>
    <t>18 a 22/05/2011</t>
  </si>
  <si>
    <t>Fábio Lúcio Borges Santos e Filhos</t>
  </si>
  <si>
    <t>Jivago Nascimento Queiroz e Filhos</t>
  </si>
  <si>
    <t>Macaé/RJ</t>
  </si>
  <si>
    <t>28 a 31/07/11</t>
  </si>
  <si>
    <t>Crato/CE</t>
  </si>
  <si>
    <t>10 a 17/07/11</t>
  </si>
  <si>
    <t>Aline Lemos Corrêa de O. Andrade</t>
  </si>
  <si>
    <t>Haras Estrela D'Alva</t>
  </si>
  <si>
    <t>Luiz Luciano e Silva</t>
  </si>
  <si>
    <t>CE</t>
  </si>
  <si>
    <t>Severino Gonçalves Duarte</t>
  </si>
  <si>
    <t>Rafael Bazílio Aguilar</t>
  </si>
  <si>
    <t>Eduardo Schapke</t>
  </si>
  <si>
    <t>ES</t>
  </si>
  <si>
    <t>Luiz Santana Zillo</t>
  </si>
  <si>
    <t>Serra/ES</t>
  </si>
  <si>
    <t>10 a 14/08/11</t>
  </si>
  <si>
    <t>Expoagro/BA</t>
  </si>
  <si>
    <t>06 a 14/08/11</t>
  </si>
  <si>
    <t>Antônio Aldemar Carvalho de Almeida</t>
  </si>
  <si>
    <t>Antônio Michelini da Silva</t>
  </si>
  <si>
    <t>Paulo César Bahia Falcão</t>
  </si>
  <si>
    <t>31/8 a 04/9/11</t>
  </si>
  <si>
    <t>César dos Santos da Silveira</t>
  </si>
  <si>
    <t>Oscar Francisco Silveira Collares</t>
  </si>
  <si>
    <t>Bruno Cézar Melo Rostirola</t>
  </si>
  <si>
    <t>Elisabeth Amaral Lemos</t>
  </si>
  <si>
    <t>Guilherme Caminha Rentzsch</t>
  </si>
  <si>
    <t>Milton C. Martins Filho e João Pedro S. Appel</t>
  </si>
  <si>
    <t>João Ignácio e Maria Helena L. M. Coelho</t>
  </si>
  <si>
    <t>29/9 a 1/10/11</t>
  </si>
  <si>
    <t>Sta. Maria/RS</t>
  </si>
  <si>
    <t>Patrícia da Silva Biavaschi</t>
  </si>
  <si>
    <t>10 a 12/10/11</t>
  </si>
  <si>
    <t>Victor Zuhlke Falson</t>
  </si>
  <si>
    <t>Condomínio Agropecuário Gruta Azul</t>
  </si>
  <si>
    <t>Joaquim Corrêa Dode e Filhas</t>
  </si>
  <si>
    <t>Condomínio Haras Stela Maris</t>
  </si>
  <si>
    <t>Parnamirim/RN</t>
  </si>
  <si>
    <t>06 a 16/10/11</t>
  </si>
  <si>
    <t>1,2</t>
  </si>
  <si>
    <t>Omar Romero de Medeiros Dias</t>
  </si>
  <si>
    <t>André Gaspar Didas</t>
  </si>
  <si>
    <t>Israel Hilário do Nascimento</t>
  </si>
  <si>
    <t>Adalberto Neumann</t>
  </si>
  <si>
    <t>André Gaspar Dias</t>
  </si>
  <si>
    <t>Ricardo Assumpção Serra</t>
  </si>
  <si>
    <t>Cristina Marta de A.M. Cavalcanti Petribu</t>
  </si>
  <si>
    <t>Nova Jerusalém</t>
  </si>
  <si>
    <t>15 a 20/11/11</t>
  </si>
  <si>
    <t>1,75</t>
  </si>
  <si>
    <t>Fernando Marçal da Silva</t>
  </si>
  <si>
    <t>Gilvan Amorim Navarro</t>
  </si>
  <si>
    <t>Irmãos Kai Kai</t>
  </si>
  <si>
    <t>Epifânio José Fontes de Goes</t>
  </si>
  <si>
    <t>0,13</t>
  </si>
  <si>
    <t>06 a 13/11/11</t>
  </si>
  <si>
    <t>Maria da Fonseca Santos</t>
  </si>
  <si>
    <t>03 a 11/09/11</t>
  </si>
  <si>
    <t>Rosa Maria Oliveira Neteo</t>
  </si>
  <si>
    <t>Rosa Maria Oliveira Neto</t>
  </si>
  <si>
    <t>Lagarto/SE</t>
  </si>
  <si>
    <t>07 a 11/09/11</t>
  </si>
  <si>
    <t>João Jerônimo C. Lopes Ferreira</t>
  </si>
  <si>
    <t>AL</t>
  </si>
  <si>
    <t>Ronney de Goes Barros</t>
  </si>
  <si>
    <t>Antonio Michelini da Silva</t>
  </si>
  <si>
    <t>08 a 11/12/11</t>
  </si>
  <si>
    <t>1.08</t>
  </si>
  <si>
    <t>27/11 a 4/12/11</t>
  </si>
  <si>
    <t>0,48</t>
  </si>
  <si>
    <t>0,91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</si>
</sst>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00"/>
    <numFmt numFmtId="185" formatCode="00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47">
    <font>
      <sz val="10"/>
      <name val="Arial"/>
      <family val="0"/>
    </font>
    <font>
      <sz val="6"/>
      <color indexed="9"/>
      <name val="Times New Roman"/>
      <family val="1"/>
    </font>
    <font>
      <sz val="6"/>
      <name val="Times New Roman"/>
      <family val="1"/>
    </font>
    <font>
      <sz val="6"/>
      <color indexed="9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z val="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84" fontId="2" fillId="33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184" fontId="2" fillId="35" borderId="12" xfId="0" applyNumberFormat="1" applyFont="1" applyFill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2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zoomScale="107" zoomScaleNormal="107" zoomScalePageLayoutView="0" workbookViewId="0" topLeftCell="B1">
      <pane ySplit="1" topLeftCell="A2" activePane="bottomLeft" state="frozen"/>
      <selection pane="topLeft" activeCell="A1" sqref="A1"/>
      <selection pane="bottomLeft" activeCell="B1" sqref="A1:IV16384"/>
    </sheetView>
  </sheetViews>
  <sheetFormatPr defaultColWidth="9.140625" defaultRowHeight="12.75"/>
  <cols>
    <col min="1" max="1" width="5.421875" style="28" customWidth="1"/>
    <col min="2" max="2" width="20.140625" style="24" customWidth="1"/>
    <col min="3" max="3" width="3.8515625" style="5" customWidth="1"/>
    <col min="4" max="4" width="5.28125" style="24" customWidth="1"/>
    <col min="5" max="9" width="7.28125" style="24" customWidth="1"/>
    <col min="10" max="12" width="6.8515625" style="24" customWidth="1"/>
    <col min="13" max="30" width="6.7109375" style="24" customWidth="1"/>
    <col min="31" max="16384" width="9.140625" style="24" customWidth="1"/>
  </cols>
  <sheetData>
    <row r="1" spans="1:30" s="5" customFormat="1" ht="8.25">
      <c r="A1" s="1">
        <v>9999</v>
      </c>
      <c r="B1" s="54"/>
      <c r="C1" s="2" t="s">
        <v>4</v>
      </c>
      <c r="D1" s="3" t="s">
        <v>1</v>
      </c>
      <c r="E1" s="3" t="s">
        <v>0</v>
      </c>
      <c r="F1" s="3" t="s">
        <v>236</v>
      </c>
      <c r="G1" s="3" t="s">
        <v>111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  <c r="N1" s="3" t="s">
        <v>255</v>
      </c>
      <c r="O1" s="3" t="s">
        <v>178</v>
      </c>
      <c r="P1" s="3" t="s">
        <v>173</v>
      </c>
      <c r="Q1" s="3" t="s">
        <v>299</v>
      </c>
      <c r="R1" s="3" t="s">
        <v>269</v>
      </c>
      <c r="S1" s="2" t="s">
        <v>48</v>
      </c>
      <c r="T1" s="2" t="s">
        <v>276</v>
      </c>
      <c r="U1" s="2" t="s">
        <v>129</v>
      </c>
      <c r="V1" s="2" t="s">
        <v>131</v>
      </c>
      <c r="W1" s="2" t="s">
        <v>286</v>
      </c>
      <c r="X1" s="2" t="s">
        <v>135</v>
      </c>
      <c r="Y1" s="2" t="s">
        <v>114</v>
      </c>
      <c r="Z1" s="2"/>
      <c r="AA1" s="2"/>
      <c r="AB1" s="2"/>
      <c r="AC1" s="2"/>
      <c r="AD1" s="2"/>
    </row>
    <row r="2" spans="1:30" s="5" customFormat="1" ht="8.25">
      <c r="A2" s="1">
        <v>9998</v>
      </c>
      <c r="B2" s="56" t="s">
        <v>32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  <c r="N2" s="8" t="s">
        <v>256</v>
      </c>
      <c r="O2" s="8" t="s">
        <v>260</v>
      </c>
      <c r="P2" s="8" t="s">
        <v>296</v>
      </c>
      <c r="Q2" s="8" t="s">
        <v>300</v>
      </c>
      <c r="R2" s="8" t="s">
        <v>268</v>
      </c>
      <c r="S2" s="8" t="s">
        <v>271</v>
      </c>
      <c r="T2" s="8" t="s">
        <v>277</v>
      </c>
      <c r="U2" s="8" t="s">
        <v>294</v>
      </c>
      <c r="V2" s="8" t="s">
        <v>294</v>
      </c>
      <c r="W2" s="8" t="s">
        <v>287</v>
      </c>
      <c r="X2" s="8" t="s">
        <v>307</v>
      </c>
      <c r="Y2" s="8" t="s">
        <v>305</v>
      </c>
      <c r="Z2" s="8"/>
      <c r="AA2" s="8"/>
      <c r="AB2" s="8"/>
      <c r="AC2" s="8"/>
      <c r="AD2" s="8"/>
    </row>
    <row r="3" spans="1:30" s="13" customFormat="1" ht="8.25">
      <c r="A3" s="1">
        <v>9997</v>
      </c>
      <c r="B3" s="55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  <c r="N3" s="11">
        <v>0.38</v>
      </c>
      <c r="O3" s="11">
        <v>0.89</v>
      </c>
      <c r="P3" s="11">
        <v>0.25</v>
      </c>
      <c r="Q3" s="11">
        <v>0.6</v>
      </c>
      <c r="R3" s="11">
        <v>0.22</v>
      </c>
      <c r="S3" s="12">
        <v>0.2</v>
      </c>
      <c r="T3" s="40" t="s">
        <v>278</v>
      </c>
      <c r="U3" s="40" t="s">
        <v>293</v>
      </c>
      <c r="V3" s="40" t="s">
        <v>309</v>
      </c>
      <c r="W3" s="40" t="s">
        <v>288</v>
      </c>
      <c r="X3" s="40" t="s">
        <v>308</v>
      </c>
      <c r="Y3" s="40" t="s">
        <v>306</v>
      </c>
      <c r="Z3" s="40"/>
      <c r="AA3" s="40"/>
      <c r="AB3" s="40"/>
      <c r="AC3" s="40"/>
      <c r="AD3" s="40"/>
    </row>
    <row r="4" spans="1:30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43"/>
    </row>
    <row r="5" spans="1:30" ht="8.25">
      <c r="A5" s="18">
        <f>SUM(0+D5)</f>
        <v>2482.0899999999997</v>
      </c>
      <c r="B5" s="19" t="s">
        <v>194</v>
      </c>
      <c r="C5" s="20" t="s">
        <v>21</v>
      </c>
      <c r="D5" s="25">
        <f>SUM(E5:AD5)</f>
        <v>2482.0899999999997</v>
      </c>
      <c r="E5" s="23">
        <f>234*2.07</f>
        <v>484.37999999999994</v>
      </c>
      <c r="F5" s="23"/>
      <c r="G5" s="23">
        <f>190*1.14</f>
        <v>216.6</v>
      </c>
      <c r="H5" s="23"/>
      <c r="I5" s="23">
        <f>160*0.96</f>
        <v>153.6</v>
      </c>
      <c r="J5" s="23"/>
      <c r="K5" s="23">
        <f>448*0.65</f>
        <v>291.2</v>
      </c>
      <c r="L5" s="23"/>
      <c r="M5" s="23"/>
      <c r="N5" s="23"/>
      <c r="O5" s="23"/>
      <c r="P5" s="23"/>
      <c r="Q5" s="23">
        <f>228*0.6</f>
        <v>136.79999999999998</v>
      </c>
      <c r="R5" s="23"/>
      <c r="S5" s="25"/>
      <c r="T5" s="25">
        <f>219*1.2</f>
        <v>262.8</v>
      </c>
      <c r="U5" s="25"/>
      <c r="V5" s="25">
        <f>227*0.91</f>
        <v>206.57</v>
      </c>
      <c r="W5" s="25">
        <f>198*1.75</f>
        <v>346.5</v>
      </c>
      <c r="X5" s="25">
        <f>320*0.48</f>
        <v>153.6</v>
      </c>
      <c r="Y5" s="25">
        <f>213*1.08</f>
        <v>230.04000000000002</v>
      </c>
      <c r="Z5" s="25"/>
      <c r="AA5" s="25"/>
      <c r="AB5" s="25"/>
      <c r="AC5" s="25"/>
      <c r="AD5" s="25"/>
    </row>
    <row r="6" spans="1:30" ht="8.25">
      <c r="A6" s="18">
        <f>SUM(0+D6)</f>
        <v>2309.4199999999996</v>
      </c>
      <c r="B6" s="19" t="s">
        <v>87</v>
      </c>
      <c r="C6" s="20" t="s">
        <v>7</v>
      </c>
      <c r="D6" s="25">
        <f>SUM(E6:AD6)</f>
        <v>2309.4199999999996</v>
      </c>
      <c r="E6" s="23">
        <f>294*2.07</f>
        <v>608.5799999999999</v>
      </c>
      <c r="F6" s="23"/>
      <c r="G6" s="23">
        <f>300*1.14</f>
        <v>341.99999999999994</v>
      </c>
      <c r="H6" s="23"/>
      <c r="I6" s="23">
        <f>8*0.96</f>
        <v>7.68</v>
      </c>
      <c r="J6" s="23">
        <f>385*1.1</f>
        <v>423.50000000000006</v>
      </c>
      <c r="K6" s="23"/>
      <c r="L6" s="23"/>
      <c r="M6" s="23">
        <v>362</v>
      </c>
      <c r="N6" s="23"/>
      <c r="O6" s="23"/>
      <c r="P6" s="23"/>
      <c r="Q6" s="23"/>
      <c r="R6" s="23"/>
      <c r="S6" s="25"/>
      <c r="T6" s="25"/>
      <c r="U6" s="23"/>
      <c r="V6" s="23">
        <f>9*0.91</f>
        <v>8.19</v>
      </c>
      <c r="W6" s="25">
        <f>313*1.75</f>
        <v>547.75</v>
      </c>
      <c r="X6" s="25"/>
      <c r="Y6" s="25">
        <f>9*1.08</f>
        <v>9.72</v>
      </c>
      <c r="Z6" s="25"/>
      <c r="AA6" s="25"/>
      <c r="AB6" s="25"/>
      <c r="AC6" s="25"/>
      <c r="AD6" s="25"/>
    </row>
    <row r="7" spans="1:30" ht="8.25">
      <c r="A7" s="18">
        <f>SUM(0+D7)</f>
        <v>2002.51</v>
      </c>
      <c r="B7" s="19" t="s">
        <v>23</v>
      </c>
      <c r="C7" s="20" t="s">
        <v>24</v>
      </c>
      <c r="D7" s="25">
        <f>SUM(E7:AD7)</f>
        <v>2002.51</v>
      </c>
      <c r="E7" s="23"/>
      <c r="F7" s="23"/>
      <c r="G7" s="23"/>
      <c r="H7" s="23"/>
      <c r="I7" s="23">
        <f>414*0.96</f>
        <v>397.44</v>
      </c>
      <c r="J7" s="23"/>
      <c r="K7" s="23"/>
      <c r="L7" s="23"/>
      <c r="M7" s="23"/>
      <c r="N7" s="23"/>
      <c r="O7" s="23"/>
      <c r="P7" s="23"/>
      <c r="Q7" s="23"/>
      <c r="R7" s="23"/>
      <c r="S7" s="25"/>
      <c r="T7" s="25">
        <f>325*1.2</f>
        <v>390</v>
      </c>
      <c r="U7" s="25"/>
      <c r="V7" s="25">
        <f>366*0.91</f>
        <v>333.06</v>
      </c>
      <c r="W7" s="25">
        <f>259*1.75</f>
        <v>453.25</v>
      </c>
      <c r="X7" s="25"/>
      <c r="Y7" s="25">
        <f>397*1.08</f>
        <v>428.76000000000005</v>
      </c>
      <c r="Z7" s="25"/>
      <c r="AA7" s="25"/>
      <c r="AB7" s="25"/>
      <c r="AC7" s="25"/>
      <c r="AD7" s="25"/>
    </row>
    <row r="8" spans="1:30" ht="8.25">
      <c r="A8" s="18">
        <f>SUM(0+D8)</f>
        <v>1604.3899999999999</v>
      </c>
      <c r="B8" s="19" t="s">
        <v>183</v>
      </c>
      <c r="C8" s="20" t="s">
        <v>7</v>
      </c>
      <c r="D8" s="25">
        <f>SUM(E8:AD8)</f>
        <v>1604.3899999999999</v>
      </c>
      <c r="E8" s="23">
        <f>233*2.07</f>
        <v>482.30999999999995</v>
      </c>
      <c r="F8" s="23"/>
      <c r="G8" s="23">
        <f>220*1.14</f>
        <v>250.79999999999998</v>
      </c>
      <c r="H8" s="23"/>
      <c r="I8" s="23">
        <f>26*0.96</f>
        <v>24.96</v>
      </c>
      <c r="J8" s="23">
        <f>227*1.1</f>
        <v>249.70000000000002</v>
      </c>
      <c r="K8" s="23"/>
      <c r="L8" s="23"/>
      <c r="M8" s="23">
        <v>242</v>
      </c>
      <c r="N8" s="23"/>
      <c r="O8" s="23"/>
      <c r="P8" s="23"/>
      <c r="Q8" s="23"/>
      <c r="R8" s="23"/>
      <c r="S8" s="25"/>
      <c r="T8" s="25"/>
      <c r="U8" s="25"/>
      <c r="V8" s="25">
        <f>7*0.91</f>
        <v>6.37</v>
      </c>
      <c r="W8" s="25">
        <f>199*1.75</f>
        <v>348.25</v>
      </c>
      <c r="X8" s="25"/>
      <c r="Y8" s="25"/>
      <c r="Z8" s="25"/>
      <c r="AA8" s="25"/>
      <c r="AB8" s="25"/>
      <c r="AC8" s="25"/>
      <c r="AD8" s="25"/>
    </row>
    <row r="9" spans="1:30" ht="8.25">
      <c r="A9" s="18">
        <f>SUM(0+D9)</f>
        <v>1193.7</v>
      </c>
      <c r="B9" s="19" t="s">
        <v>195</v>
      </c>
      <c r="C9" s="20" t="s">
        <v>21</v>
      </c>
      <c r="D9" s="25">
        <f>SUM(E9:AD9)</f>
        <v>1193.7</v>
      </c>
      <c r="E9" s="23">
        <f>40*2.07</f>
        <v>82.8</v>
      </c>
      <c r="F9" s="23">
        <f>51*0.16</f>
        <v>8.16</v>
      </c>
      <c r="G9" s="23">
        <f>69*1.14</f>
        <v>78.66</v>
      </c>
      <c r="H9" s="23"/>
      <c r="I9" s="23">
        <f>92*0.96</f>
        <v>88.32</v>
      </c>
      <c r="J9" s="23"/>
      <c r="K9" s="23">
        <f>200*0.65</f>
        <v>130</v>
      </c>
      <c r="L9" s="23"/>
      <c r="M9" s="23"/>
      <c r="N9" s="23">
        <f>30*0.38</f>
        <v>11.4</v>
      </c>
      <c r="O9" s="23"/>
      <c r="P9" s="23">
        <f>30*0.25</f>
        <v>7.5</v>
      </c>
      <c r="Q9" s="23">
        <f>101*0.6</f>
        <v>60.599999999999994</v>
      </c>
      <c r="R9" s="23"/>
      <c r="S9" s="25"/>
      <c r="T9" s="25">
        <f>115*1.2</f>
        <v>138</v>
      </c>
      <c r="U9" s="25"/>
      <c r="V9" s="25">
        <f>139*0.91</f>
        <v>126.49000000000001</v>
      </c>
      <c r="W9" s="25">
        <f>127*1.75</f>
        <v>222.25</v>
      </c>
      <c r="X9" s="25">
        <f>58*0.48</f>
        <v>27.84</v>
      </c>
      <c r="Y9" s="25">
        <f>196*1.08</f>
        <v>211.68</v>
      </c>
      <c r="Z9" s="25"/>
      <c r="AA9" s="25"/>
      <c r="AB9" s="25"/>
      <c r="AC9" s="25"/>
      <c r="AD9" s="25"/>
    </row>
    <row r="10" spans="1:30" ht="8.25">
      <c r="A10" s="18">
        <f>SUM(0+D10)</f>
        <v>1134.36</v>
      </c>
      <c r="B10" s="19" t="s">
        <v>180</v>
      </c>
      <c r="C10" s="20" t="s">
        <v>21</v>
      </c>
      <c r="D10" s="25">
        <f>SUM(E10:AD10)</f>
        <v>1134.36</v>
      </c>
      <c r="E10" s="23">
        <f>68*2.07</f>
        <v>140.76</v>
      </c>
      <c r="F10" s="23"/>
      <c r="G10" s="23"/>
      <c r="H10" s="23"/>
      <c r="I10" s="23">
        <f>228*0.96</f>
        <v>218.88</v>
      </c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>
        <f>199*1.2</f>
        <v>238.79999999999998</v>
      </c>
      <c r="U10" s="25"/>
      <c r="V10" s="25">
        <f>162*0.91</f>
        <v>147.42000000000002</v>
      </c>
      <c r="W10" s="25">
        <f>114*1.75</f>
        <v>199.5</v>
      </c>
      <c r="X10" s="25">
        <f>9*0.48</f>
        <v>4.32</v>
      </c>
      <c r="Y10" s="25">
        <f>171*1.08</f>
        <v>184.68</v>
      </c>
      <c r="Z10" s="25"/>
      <c r="AA10" s="25"/>
      <c r="AB10" s="25"/>
      <c r="AC10" s="25"/>
      <c r="AD10" s="25"/>
    </row>
    <row r="11" spans="1:30" ht="8.25">
      <c r="A11" s="18">
        <f>SUM(0+D11)</f>
        <v>907.3100000000001</v>
      </c>
      <c r="B11" s="19" t="s">
        <v>38</v>
      </c>
      <c r="C11" s="20" t="s">
        <v>37</v>
      </c>
      <c r="D11" s="25">
        <f>SUM(E11:AD11)</f>
        <v>907.3100000000001</v>
      </c>
      <c r="E11" s="23">
        <f>128*2.07</f>
        <v>264.96</v>
      </c>
      <c r="F11" s="23">
        <f>33*0.16</f>
        <v>5.28</v>
      </c>
      <c r="G11" s="23"/>
      <c r="H11" s="23"/>
      <c r="I11" s="23"/>
      <c r="J11" s="23">
        <f>176*1.1</f>
        <v>193.60000000000002</v>
      </c>
      <c r="K11" s="23"/>
      <c r="L11" s="23">
        <f>410*0.44</f>
        <v>180.4</v>
      </c>
      <c r="M11" s="23">
        <v>226</v>
      </c>
      <c r="N11" s="23">
        <f>43*0.38</f>
        <v>16.34</v>
      </c>
      <c r="O11" s="23"/>
      <c r="P11" s="23">
        <f>33*0.25</f>
        <v>8.25</v>
      </c>
      <c r="Q11" s="23"/>
      <c r="R11" s="23"/>
      <c r="S11" s="25"/>
      <c r="T11" s="25"/>
      <c r="U11" s="25"/>
      <c r="V11" s="25"/>
      <c r="W11" s="25"/>
      <c r="X11" s="25">
        <f>26*0.48</f>
        <v>12.48</v>
      </c>
      <c r="Y11" s="25"/>
      <c r="Z11" s="25"/>
      <c r="AA11" s="25"/>
      <c r="AB11" s="25"/>
      <c r="AC11" s="25"/>
      <c r="AD11" s="25"/>
    </row>
    <row r="12" spans="1:30" ht="8.25">
      <c r="A12" s="18">
        <f>SUM(0+D12)</f>
        <v>793.1400000000001</v>
      </c>
      <c r="B12" s="19" t="s">
        <v>229</v>
      </c>
      <c r="C12" s="20" t="s">
        <v>24</v>
      </c>
      <c r="D12" s="25">
        <f>SUM(E12:AD12)</f>
        <v>793.1400000000001</v>
      </c>
      <c r="E12" s="25"/>
      <c r="F12" s="23"/>
      <c r="G12" s="25"/>
      <c r="H12" s="23"/>
      <c r="I12" s="23">
        <f>91*0.96</f>
        <v>87.36</v>
      </c>
      <c r="J12" s="25"/>
      <c r="K12" s="23"/>
      <c r="L12" s="23"/>
      <c r="M12" s="25"/>
      <c r="N12" s="23"/>
      <c r="O12" s="23"/>
      <c r="P12" s="23"/>
      <c r="Q12" s="23"/>
      <c r="R12" s="23"/>
      <c r="S12" s="25"/>
      <c r="T12" s="25">
        <f>196*1.2</f>
        <v>235.2</v>
      </c>
      <c r="U12" s="25"/>
      <c r="V12" s="25">
        <f>172*0.91</f>
        <v>156.52</v>
      </c>
      <c r="W12" s="25">
        <f>98*1.75</f>
        <v>171.5</v>
      </c>
      <c r="X12" s="25"/>
      <c r="Y12" s="25">
        <f>132*1.08</f>
        <v>142.56</v>
      </c>
      <c r="Z12" s="25"/>
      <c r="AA12" s="25"/>
      <c r="AB12" s="25"/>
      <c r="AC12" s="25"/>
      <c r="AD12" s="25"/>
    </row>
    <row r="13" spans="1:30" ht="8.25">
      <c r="A13" s="18">
        <f>SUM(0+D13)</f>
        <v>675.8399999999999</v>
      </c>
      <c r="B13" s="19" t="s">
        <v>203</v>
      </c>
      <c r="C13" s="20" t="s">
        <v>14</v>
      </c>
      <c r="D13" s="25">
        <f>SUM(E13:AD13)</f>
        <v>675.8399999999999</v>
      </c>
      <c r="E13" s="23"/>
      <c r="F13" s="23"/>
      <c r="G13" s="23">
        <f>236*1.14</f>
        <v>269.03999999999996</v>
      </c>
      <c r="H13" s="23"/>
      <c r="I13" s="23"/>
      <c r="J13" s="23">
        <f>208*1.1</f>
        <v>228.8</v>
      </c>
      <c r="K13" s="23"/>
      <c r="L13" s="23"/>
      <c r="M13" s="23">
        <v>178</v>
      </c>
      <c r="N13" s="23"/>
      <c r="O13" s="23"/>
      <c r="P13" s="23"/>
      <c r="Q13" s="23"/>
      <c r="R13" s="23"/>
      <c r="S13" s="25"/>
      <c r="T13" s="25"/>
      <c r="U13" s="23"/>
      <c r="V13" s="23"/>
      <c r="W13" s="25"/>
      <c r="X13" s="25"/>
      <c r="Y13" s="25"/>
      <c r="Z13" s="25"/>
      <c r="AA13" s="25"/>
      <c r="AB13" s="25"/>
      <c r="AC13" s="25"/>
      <c r="AD13" s="25"/>
    </row>
    <row r="14" spans="1:30" ht="8.25">
      <c r="A14" s="18">
        <f>SUM(0+D14)</f>
        <v>661.1500000000001</v>
      </c>
      <c r="B14" s="19" t="s">
        <v>181</v>
      </c>
      <c r="C14" s="20" t="s">
        <v>21</v>
      </c>
      <c r="D14" s="25">
        <f>SUM(E14:AD14)</f>
        <v>661.1500000000001</v>
      </c>
      <c r="E14" s="23">
        <f>57*2.07</f>
        <v>117.99</v>
      </c>
      <c r="F14" s="23"/>
      <c r="G14" s="23">
        <f>34*1.14</f>
        <v>38.76</v>
      </c>
      <c r="H14" s="23"/>
      <c r="I14" s="23">
        <f>105*0.96</f>
        <v>100.8</v>
      </c>
      <c r="J14" s="23"/>
      <c r="K14" s="23">
        <f>42*0.65</f>
        <v>27.3</v>
      </c>
      <c r="L14" s="23"/>
      <c r="M14" s="23"/>
      <c r="N14" s="23"/>
      <c r="O14" s="23"/>
      <c r="P14" s="23"/>
      <c r="Q14" s="23">
        <f>82*0.6</f>
        <v>49.199999999999996</v>
      </c>
      <c r="R14" s="23"/>
      <c r="S14" s="25"/>
      <c r="T14" s="25"/>
      <c r="U14" s="25"/>
      <c r="V14" s="25">
        <f>91*0.91</f>
        <v>82.81</v>
      </c>
      <c r="W14" s="25">
        <f>87*1.75</f>
        <v>152.25</v>
      </c>
      <c r="X14" s="25">
        <f>77*0.48</f>
        <v>36.96</v>
      </c>
      <c r="Y14" s="25">
        <f>51*1.08</f>
        <v>55.080000000000005</v>
      </c>
      <c r="Z14" s="25"/>
      <c r="AA14" s="25"/>
      <c r="AB14" s="25"/>
      <c r="AC14" s="25"/>
      <c r="AD14" s="25"/>
    </row>
    <row r="15" spans="1:30" ht="8.25">
      <c r="A15" s="18">
        <f>SUM(0+D15)</f>
        <v>559.68</v>
      </c>
      <c r="B15" s="19" t="s">
        <v>49</v>
      </c>
      <c r="C15" s="20" t="s">
        <v>35</v>
      </c>
      <c r="D15" s="25">
        <f>SUM(E15:AD15)</f>
        <v>559.68</v>
      </c>
      <c r="E15" s="23">
        <f>76*2.07</f>
        <v>157.32</v>
      </c>
      <c r="F15" s="23"/>
      <c r="G15" s="23"/>
      <c r="H15" s="23"/>
      <c r="I15" s="23"/>
      <c r="J15" s="23"/>
      <c r="K15" s="23"/>
      <c r="L15" s="23"/>
      <c r="M15" s="23"/>
      <c r="N15" s="23">
        <f>9*0.38</f>
        <v>3.42</v>
      </c>
      <c r="O15" s="23"/>
      <c r="P15" s="23"/>
      <c r="Q15" s="23">
        <f>264*0.6</f>
        <v>158.4</v>
      </c>
      <c r="R15" s="23"/>
      <c r="S15" s="25"/>
      <c r="T15" s="25"/>
      <c r="U15" s="25">
        <f>206*0.13</f>
        <v>26.78</v>
      </c>
      <c r="V15" s="25"/>
      <c r="W15" s="25">
        <f>112*1.75</f>
        <v>196</v>
      </c>
      <c r="X15" s="25">
        <f>37*0.48</f>
        <v>17.759999999999998</v>
      </c>
      <c r="Y15" s="25"/>
      <c r="Z15" s="25"/>
      <c r="AA15" s="25"/>
      <c r="AB15" s="25"/>
      <c r="AC15" s="25"/>
      <c r="AD15" s="25"/>
    </row>
    <row r="16" spans="1:30" ht="8.25">
      <c r="A16" s="28">
        <f>SUM(0+D16)</f>
        <v>521.04</v>
      </c>
      <c r="B16" s="19" t="s">
        <v>18</v>
      </c>
      <c r="C16" s="20" t="s">
        <v>14</v>
      </c>
      <c r="D16" s="25">
        <f>SUM(E16:AD16)</f>
        <v>521.04</v>
      </c>
      <c r="E16" s="23"/>
      <c r="F16" s="23">
        <f>58*0.16</f>
        <v>9.28</v>
      </c>
      <c r="G16" s="23">
        <f>192*1.14</f>
        <v>218.88</v>
      </c>
      <c r="H16" s="23"/>
      <c r="I16" s="23"/>
      <c r="J16" s="23">
        <f>84*1.1</f>
        <v>92.4</v>
      </c>
      <c r="K16" s="23"/>
      <c r="L16" s="23"/>
      <c r="M16" s="23">
        <v>67</v>
      </c>
      <c r="N16" s="23">
        <f>53*0.38</f>
        <v>20.14</v>
      </c>
      <c r="O16" s="23"/>
      <c r="P16" s="23">
        <f>58*0.25</f>
        <v>14.5</v>
      </c>
      <c r="Q16" s="23"/>
      <c r="R16" s="23"/>
      <c r="S16" s="25"/>
      <c r="T16" s="25"/>
      <c r="U16" s="25"/>
      <c r="V16" s="25"/>
      <c r="W16" s="25">
        <f>8*1.75</f>
        <v>14</v>
      </c>
      <c r="X16" s="25">
        <f>80*0.48</f>
        <v>38.4</v>
      </c>
      <c r="Y16" s="25">
        <f>43*1.08</f>
        <v>46.440000000000005</v>
      </c>
      <c r="Z16" s="25"/>
      <c r="AA16" s="25"/>
      <c r="AB16" s="25"/>
      <c r="AC16" s="25"/>
      <c r="AD16" s="25"/>
    </row>
    <row r="17" spans="1:30" ht="8.25">
      <c r="A17" s="18">
        <f>SUM(0+D17)</f>
        <v>518.27</v>
      </c>
      <c r="B17" s="19" t="s">
        <v>177</v>
      </c>
      <c r="C17" s="20" t="s">
        <v>24</v>
      </c>
      <c r="D17" s="25">
        <f>SUM(E17:AD17)</f>
        <v>518.27</v>
      </c>
      <c r="E17" s="25"/>
      <c r="F17" s="23"/>
      <c r="G17" s="25"/>
      <c r="H17" s="23"/>
      <c r="I17" s="23">
        <f>122*0.96</f>
        <v>117.11999999999999</v>
      </c>
      <c r="J17" s="25"/>
      <c r="K17" s="23"/>
      <c r="L17" s="23"/>
      <c r="M17" s="25"/>
      <c r="N17" s="23"/>
      <c r="O17" s="23"/>
      <c r="P17" s="23"/>
      <c r="Q17" s="23"/>
      <c r="R17" s="23"/>
      <c r="S17" s="25"/>
      <c r="T17" s="25">
        <f>194*1.2</f>
        <v>232.79999999999998</v>
      </c>
      <c r="U17" s="25"/>
      <c r="V17" s="25">
        <f>135*0.91</f>
        <v>122.85000000000001</v>
      </c>
      <c r="W17" s="25">
        <f>26*1.75</f>
        <v>45.5</v>
      </c>
      <c r="X17" s="25"/>
      <c r="Y17" s="25"/>
      <c r="Z17" s="25"/>
      <c r="AA17" s="25"/>
      <c r="AB17" s="25"/>
      <c r="AC17" s="25"/>
      <c r="AD17" s="25"/>
    </row>
    <row r="18" spans="1:30" ht="8.25">
      <c r="A18" s="18">
        <f>SUM(0+D18)</f>
        <v>456.7</v>
      </c>
      <c r="B18" s="19" t="s">
        <v>134</v>
      </c>
      <c r="C18" s="20" t="s">
        <v>21</v>
      </c>
      <c r="D18" s="25">
        <f>SUM(E18:AD18)</f>
        <v>456.7</v>
      </c>
      <c r="E18" s="25"/>
      <c r="F18" s="23"/>
      <c r="G18" s="25"/>
      <c r="H18" s="25"/>
      <c r="I18" s="23">
        <f>35*0.96</f>
        <v>33.6</v>
      </c>
      <c r="J18" s="25"/>
      <c r="K18" s="23">
        <f>61*0.65</f>
        <v>39.65</v>
      </c>
      <c r="L18" s="23"/>
      <c r="M18" s="25"/>
      <c r="N18" s="23"/>
      <c r="O18" s="23"/>
      <c r="P18" s="23"/>
      <c r="Q18" s="23"/>
      <c r="R18" s="23"/>
      <c r="S18" s="25"/>
      <c r="T18" s="25">
        <f>92*1.2</f>
        <v>110.39999999999999</v>
      </c>
      <c r="U18" s="25"/>
      <c r="V18" s="25">
        <f>84*0.91</f>
        <v>76.44</v>
      </c>
      <c r="W18" s="25">
        <f>71*1.75</f>
        <v>124.25</v>
      </c>
      <c r="X18" s="25"/>
      <c r="Y18" s="25">
        <f>67*1.08</f>
        <v>72.36</v>
      </c>
      <c r="Z18" s="25"/>
      <c r="AA18" s="25"/>
      <c r="AB18" s="25"/>
      <c r="AC18" s="25"/>
      <c r="AD18" s="25"/>
    </row>
    <row r="19" spans="1:30" ht="8.25">
      <c r="A19" s="26">
        <f>SUM(0+D19)</f>
        <v>453.41</v>
      </c>
      <c r="B19" s="19" t="s">
        <v>3</v>
      </c>
      <c r="C19" s="20" t="s">
        <v>7</v>
      </c>
      <c r="D19" s="25">
        <f>SUM(E19:AD19)</f>
        <v>453.41</v>
      </c>
      <c r="E19" s="23">
        <f>119*2.07</f>
        <v>246.32999999999998</v>
      </c>
      <c r="F19" s="23">
        <f>71*0.16</f>
        <v>11.36</v>
      </c>
      <c r="G19" s="23">
        <f>144*1.14</f>
        <v>164.16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5"/>
      <c r="V19" s="25"/>
      <c r="W19" s="25">
        <f>12*1.75</f>
        <v>21</v>
      </c>
      <c r="X19" s="25">
        <f>22*0.48</f>
        <v>10.559999999999999</v>
      </c>
      <c r="Y19" s="25"/>
      <c r="Z19" s="25"/>
      <c r="AA19" s="25"/>
      <c r="AB19" s="25"/>
      <c r="AC19" s="25"/>
      <c r="AD19" s="25"/>
    </row>
    <row r="20" spans="1:30" ht="8.25">
      <c r="A20" s="18">
        <f>SUM(0+D20)</f>
        <v>437.1</v>
      </c>
      <c r="B20" s="19" t="s">
        <v>152</v>
      </c>
      <c r="C20" s="20" t="s">
        <v>37</v>
      </c>
      <c r="D20" s="25">
        <f>SUM(E20:AD20)</f>
        <v>437.1</v>
      </c>
      <c r="E20" s="23">
        <f>20*2.07</f>
        <v>41.4</v>
      </c>
      <c r="F20" s="23"/>
      <c r="G20" s="23"/>
      <c r="H20" s="23"/>
      <c r="I20" s="23"/>
      <c r="J20" s="23">
        <f>119*1.1</f>
        <v>130.9</v>
      </c>
      <c r="K20" s="23"/>
      <c r="L20" s="23">
        <f>245*0.44</f>
        <v>107.8</v>
      </c>
      <c r="M20" s="25">
        <v>157</v>
      </c>
      <c r="N20" s="23"/>
      <c r="O20" s="23"/>
      <c r="P20" s="23"/>
      <c r="Q20" s="23"/>
      <c r="R20" s="23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8.25">
      <c r="A21" s="18">
        <f>SUM(0+D21)</f>
        <v>354</v>
      </c>
      <c r="B21" s="19" t="s">
        <v>186</v>
      </c>
      <c r="C21" s="20" t="s">
        <v>7</v>
      </c>
      <c r="D21" s="25">
        <f>SUM(E21:AD21)</f>
        <v>354</v>
      </c>
      <c r="E21" s="23">
        <f>122*2.07</f>
        <v>252.54</v>
      </c>
      <c r="F21" s="23"/>
      <c r="G21" s="23">
        <f>89*1.14</f>
        <v>101.46</v>
      </c>
      <c r="H21" s="23"/>
      <c r="I21" s="23"/>
      <c r="J21" s="23"/>
      <c r="K21" s="23"/>
      <c r="L21" s="23"/>
      <c r="M21" s="25"/>
      <c r="N21" s="23"/>
      <c r="O21" s="23"/>
      <c r="P21" s="23"/>
      <c r="Q21" s="23"/>
      <c r="R21" s="23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8.25">
      <c r="A22" s="18">
        <f>SUM(0+D22)</f>
        <v>353.73</v>
      </c>
      <c r="B22" s="19" t="s">
        <v>67</v>
      </c>
      <c r="C22" s="20" t="s">
        <v>17</v>
      </c>
      <c r="D22" s="25">
        <f>SUM(E22:AD22)</f>
        <v>353.73</v>
      </c>
      <c r="E22" s="25"/>
      <c r="F22" s="23"/>
      <c r="G22" s="23"/>
      <c r="H22" s="23">
        <f>397*0.27</f>
        <v>107.19000000000001</v>
      </c>
      <c r="I22" s="23"/>
      <c r="J22" s="23"/>
      <c r="K22" s="23"/>
      <c r="L22" s="23"/>
      <c r="M22" s="25">
        <v>52</v>
      </c>
      <c r="N22" s="23"/>
      <c r="O22" s="23">
        <f>116*0.89</f>
        <v>103.24</v>
      </c>
      <c r="P22" s="23"/>
      <c r="Q22" s="23"/>
      <c r="R22" s="23">
        <f>415*0.22</f>
        <v>91.3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8.25">
      <c r="A23" s="18">
        <f>SUM(0+D23)</f>
        <v>328.51</v>
      </c>
      <c r="B23" s="19" t="s">
        <v>244</v>
      </c>
      <c r="C23" s="20" t="s">
        <v>14</v>
      </c>
      <c r="D23" s="25">
        <f>SUM(E23:AD23)</f>
        <v>328.51</v>
      </c>
      <c r="E23" s="25"/>
      <c r="F23" s="23"/>
      <c r="G23" s="25"/>
      <c r="H23" s="25"/>
      <c r="I23" s="25"/>
      <c r="J23" s="25"/>
      <c r="K23" s="23">
        <f>57*0.65</f>
        <v>37.050000000000004</v>
      </c>
      <c r="L23" s="23"/>
      <c r="M23" s="25"/>
      <c r="N23" s="23"/>
      <c r="O23" s="23"/>
      <c r="P23" s="23"/>
      <c r="Q23" s="23">
        <f>8*0.6</f>
        <v>4.8</v>
      </c>
      <c r="R23" s="23"/>
      <c r="S23" s="25"/>
      <c r="T23" s="25">
        <f>17*1.2</f>
        <v>20.4</v>
      </c>
      <c r="U23" s="25"/>
      <c r="V23" s="25">
        <f>52*0.91</f>
        <v>47.32</v>
      </c>
      <c r="W23" s="25">
        <f>78*1.75</f>
        <v>136.5</v>
      </c>
      <c r="X23" s="25">
        <f>21*0.48</f>
        <v>10.08</v>
      </c>
      <c r="Y23" s="25">
        <f>67*1.08</f>
        <v>72.36</v>
      </c>
      <c r="Z23" s="25"/>
      <c r="AA23" s="25"/>
      <c r="AB23" s="25"/>
      <c r="AC23" s="25"/>
      <c r="AD23" s="25"/>
    </row>
    <row r="24" spans="1:30" ht="8.25">
      <c r="A24" s="26">
        <f>SUM(0+D24)</f>
        <v>324.28999999999996</v>
      </c>
      <c r="B24" s="19" t="s">
        <v>79</v>
      </c>
      <c r="C24" s="20" t="s">
        <v>5</v>
      </c>
      <c r="D24" s="25">
        <f>SUM(E24:AD24)</f>
        <v>324.28999999999996</v>
      </c>
      <c r="E24" s="23">
        <f>69*2.07</f>
        <v>142.82999999999998</v>
      </c>
      <c r="F24" s="23">
        <f>26*0.16</f>
        <v>4.16</v>
      </c>
      <c r="G24" s="23"/>
      <c r="H24" s="23"/>
      <c r="I24" s="23"/>
      <c r="J24" s="23"/>
      <c r="K24" s="23"/>
      <c r="L24" s="23"/>
      <c r="M24" s="23"/>
      <c r="N24" s="23">
        <f>297*0.38</f>
        <v>112.86</v>
      </c>
      <c r="O24" s="23"/>
      <c r="P24" s="23"/>
      <c r="Q24" s="23">
        <f>25*0.6</f>
        <v>15</v>
      </c>
      <c r="R24" s="23"/>
      <c r="S24" s="25"/>
      <c r="T24" s="25"/>
      <c r="U24" s="25"/>
      <c r="V24" s="25"/>
      <c r="W24" s="25"/>
      <c r="X24" s="25">
        <f>103*0.48</f>
        <v>49.44</v>
      </c>
      <c r="Y24" s="25"/>
      <c r="Z24" s="25"/>
      <c r="AA24" s="25"/>
      <c r="AB24" s="25"/>
      <c r="AC24" s="25"/>
      <c r="AD24" s="25"/>
    </row>
    <row r="25" spans="1:30" ht="8.25">
      <c r="A25" s="18">
        <f>SUM(0+D25)</f>
        <v>323.19</v>
      </c>
      <c r="B25" s="19" t="s">
        <v>185</v>
      </c>
      <c r="C25" s="20" t="s">
        <v>37</v>
      </c>
      <c r="D25" s="25">
        <f>SUM(E25:AD25)</f>
        <v>323.19</v>
      </c>
      <c r="E25" s="23">
        <f>67*2.07</f>
        <v>138.69</v>
      </c>
      <c r="F25" s="23"/>
      <c r="G25" s="23"/>
      <c r="H25" s="23"/>
      <c r="I25" s="23"/>
      <c r="J25" s="23">
        <f>155*1.1</f>
        <v>170.5</v>
      </c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5"/>
      <c r="V25" s="25"/>
      <c r="W25" s="25">
        <f>8*1.75</f>
        <v>14</v>
      </c>
      <c r="X25" s="25"/>
      <c r="Y25" s="25"/>
      <c r="Z25" s="25"/>
      <c r="AA25" s="25"/>
      <c r="AB25" s="25"/>
      <c r="AC25" s="25"/>
      <c r="AD25" s="25"/>
    </row>
    <row r="26" spans="1:30" ht="8.25">
      <c r="A26" s="18">
        <f>SUM(0+D26)</f>
        <v>313.85</v>
      </c>
      <c r="B26" s="19" t="s">
        <v>165</v>
      </c>
      <c r="C26" s="20" t="s">
        <v>21</v>
      </c>
      <c r="D26" s="25">
        <f>SUM(E26:AD26)</f>
        <v>313.85</v>
      </c>
      <c r="E26" s="23">
        <f>13*2.07</f>
        <v>26.909999999999997</v>
      </c>
      <c r="F26" s="23"/>
      <c r="G26" s="23"/>
      <c r="H26" s="23"/>
      <c r="I26" s="23">
        <f>48*0.96</f>
        <v>46.08</v>
      </c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>
        <f>42*1.2</f>
        <v>50.4</v>
      </c>
      <c r="U26" s="25"/>
      <c r="V26" s="25">
        <f>33*0.91</f>
        <v>30.03</v>
      </c>
      <c r="W26" s="25">
        <f>17*1.75</f>
        <v>29.75</v>
      </c>
      <c r="X26" s="25"/>
      <c r="Y26" s="25">
        <f>121*1.08</f>
        <v>130.68</v>
      </c>
      <c r="Z26" s="25"/>
      <c r="AA26" s="25"/>
      <c r="AB26" s="25"/>
      <c r="AC26" s="25"/>
      <c r="AD26" s="25"/>
    </row>
    <row r="27" spans="1:30" ht="8.25">
      <c r="A27" s="18">
        <f>SUM(0+D27)</f>
        <v>289.29999999999995</v>
      </c>
      <c r="B27" s="19" t="s">
        <v>192</v>
      </c>
      <c r="C27" s="20" t="s">
        <v>21</v>
      </c>
      <c r="D27" s="25">
        <f>SUM(E27:AD27)</f>
        <v>289.29999999999995</v>
      </c>
      <c r="E27" s="23">
        <f>19*2.07</f>
        <v>39.33</v>
      </c>
      <c r="F27" s="23"/>
      <c r="G27" s="23">
        <f>7*1.14</f>
        <v>7.9799999999999995</v>
      </c>
      <c r="H27" s="23"/>
      <c r="I27" s="23">
        <f>37*0.96</f>
        <v>35.519999999999996</v>
      </c>
      <c r="J27" s="23"/>
      <c r="K27" s="23">
        <f>51*0.65</f>
        <v>33.15</v>
      </c>
      <c r="L27" s="23"/>
      <c r="M27" s="23"/>
      <c r="N27" s="23"/>
      <c r="O27" s="23"/>
      <c r="P27" s="23"/>
      <c r="Q27" s="23">
        <f>44*0.6</f>
        <v>26.4</v>
      </c>
      <c r="R27" s="23"/>
      <c r="S27" s="25"/>
      <c r="T27" s="25">
        <f>23*1.2</f>
        <v>27.599999999999998</v>
      </c>
      <c r="U27" s="25"/>
      <c r="V27" s="25">
        <f>42*0.91</f>
        <v>38.22</v>
      </c>
      <c r="W27" s="25">
        <f>34*1.75</f>
        <v>59.5</v>
      </c>
      <c r="X27" s="25">
        <f>9*0.48</f>
        <v>4.32</v>
      </c>
      <c r="Y27" s="25">
        <f>16*1.08</f>
        <v>17.28</v>
      </c>
      <c r="Z27" s="25"/>
      <c r="AA27" s="25"/>
      <c r="AB27" s="25"/>
      <c r="AC27" s="25"/>
      <c r="AD27" s="25"/>
    </row>
    <row r="28" spans="1:30" ht="8.25">
      <c r="A28" s="18">
        <f>SUM(0+D28)</f>
        <v>282.65999999999997</v>
      </c>
      <c r="B28" s="19" t="s">
        <v>141</v>
      </c>
      <c r="C28" s="20" t="s">
        <v>5</v>
      </c>
      <c r="D28" s="25">
        <f>SUM(E28:AD28)</f>
        <v>282.65999999999997</v>
      </c>
      <c r="E28" s="23">
        <f>29*2.07</f>
        <v>60.029999999999994</v>
      </c>
      <c r="F28" s="23">
        <f>68*0.16</f>
        <v>10.88</v>
      </c>
      <c r="G28" s="23"/>
      <c r="H28" s="23"/>
      <c r="I28" s="23"/>
      <c r="J28" s="23"/>
      <c r="K28" s="23"/>
      <c r="L28" s="23"/>
      <c r="M28" s="25"/>
      <c r="N28" s="23">
        <f>157*0.38</f>
        <v>59.660000000000004</v>
      </c>
      <c r="O28" s="23"/>
      <c r="P28" s="23">
        <f>321*0.25</f>
        <v>80.25</v>
      </c>
      <c r="Q28" s="23"/>
      <c r="R28" s="23"/>
      <c r="S28" s="25"/>
      <c r="T28" s="25"/>
      <c r="U28" s="25">
        <f>32*0.13</f>
        <v>4.16</v>
      </c>
      <c r="V28" s="25"/>
      <c r="W28" s="25"/>
      <c r="X28" s="25">
        <f>141*0.48</f>
        <v>67.67999999999999</v>
      </c>
      <c r="Y28" s="25"/>
      <c r="Z28" s="25"/>
      <c r="AA28" s="25"/>
      <c r="AB28" s="25"/>
      <c r="AC28" s="25"/>
      <c r="AD28" s="25"/>
    </row>
    <row r="29" spans="1:30" ht="8.25">
      <c r="A29" s="18">
        <f>SUM(0+D29)</f>
        <v>246.73999999999995</v>
      </c>
      <c r="B29" s="19" t="s">
        <v>13</v>
      </c>
      <c r="C29" s="20" t="s">
        <v>9</v>
      </c>
      <c r="D29" s="25">
        <f>SUM(E29:AD29)</f>
        <v>246.73999999999995</v>
      </c>
      <c r="E29" s="23">
        <f>99*2.07</f>
        <v>204.92999999999998</v>
      </c>
      <c r="F29" s="23">
        <f>70*0.16</f>
        <v>11.200000000000001</v>
      </c>
      <c r="G29" s="23"/>
      <c r="H29" s="23"/>
      <c r="I29" s="23"/>
      <c r="J29" s="23"/>
      <c r="K29" s="23"/>
      <c r="L29" s="23"/>
      <c r="M29" s="23"/>
      <c r="N29" s="23">
        <f>26*0.38</f>
        <v>9.88</v>
      </c>
      <c r="O29" s="23"/>
      <c r="P29" s="23">
        <f>33*0.25</f>
        <v>8.25</v>
      </c>
      <c r="Q29" s="23"/>
      <c r="R29" s="23"/>
      <c r="S29" s="25"/>
      <c r="T29" s="25"/>
      <c r="U29" s="25"/>
      <c r="V29" s="25"/>
      <c r="W29" s="25"/>
      <c r="X29" s="25">
        <f>26*0.48</f>
        <v>12.48</v>
      </c>
      <c r="Y29" s="25"/>
      <c r="Z29" s="25"/>
      <c r="AA29" s="25"/>
      <c r="AB29" s="25"/>
      <c r="AC29" s="25"/>
      <c r="AD29" s="25"/>
    </row>
    <row r="30" spans="1:30" ht="8.25">
      <c r="A30" s="18">
        <f>SUM(0+D30)</f>
        <v>227.55</v>
      </c>
      <c r="B30" s="19" t="s">
        <v>196</v>
      </c>
      <c r="C30" s="20" t="s">
        <v>37</v>
      </c>
      <c r="D30" s="25">
        <f>SUM(E30:AD30)</f>
        <v>227.55</v>
      </c>
      <c r="E30" s="23">
        <f>33*2.07</f>
        <v>68.30999999999999</v>
      </c>
      <c r="F30" s="23"/>
      <c r="G30" s="23"/>
      <c r="H30" s="23"/>
      <c r="I30" s="23"/>
      <c r="J30" s="23">
        <f>24*1.1</f>
        <v>26.400000000000002</v>
      </c>
      <c r="K30" s="23"/>
      <c r="L30" s="23">
        <f>136*0.44</f>
        <v>59.84</v>
      </c>
      <c r="M30" s="25">
        <v>73</v>
      </c>
      <c r="N30" s="23"/>
      <c r="O30" s="23"/>
      <c r="P30" s="23"/>
      <c r="Q30" s="23"/>
      <c r="R30" s="23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8.25">
      <c r="A31" s="18">
        <f>SUM(0+D31)</f>
        <v>213.04999999999998</v>
      </c>
      <c r="B31" s="19" t="s">
        <v>188</v>
      </c>
      <c r="C31" s="20" t="s">
        <v>37</v>
      </c>
      <c r="D31" s="25">
        <f>SUM(E31:AD31)</f>
        <v>213.04999999999998</v>
      </c>
      <c r="E31" s="23">
        <f>57*2.07</f>
        <v>117.99</v>
      </c>
      <c r="F31" s="23"/>
      <c r="G31" s="23">
        <f>17*1.14</f>
        <v>19.38</v>
      </c>
      <c r="H31" s="23"/>
      <c r="I31" s="23"/>
      <c r="J31" s="23">
        <f>52*1.1</f>
        <v>57.2</v>
      </c>
      <c r="K31" s="23"/>
      <c r="L31" s="23">
        <f>42*0.44</f>
        <v>18.48</v>
      </c>
      <c r="M31" s="23"/>
      <c r="N31" s="23"/>
      <c r="O31" s="23"/>
      <c r="P31" s="23"/>
      <c r="Q31" s="23"/>
      <c r="R31" s="23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8.25">
      <c r="A32" s="18">
        <f>SUM(0+D32)</f>
        <v>203.82000000000002</v>
      </c>
      <c r="B32" s="19" t="s">
        <v>42</v>
      </c>
      <c r="C32" s="20" t="s">
        <v>17</v>
      </c>
      <c r="D32" s="25">
        <f>SUM(E32:AD32)</f>
        <v>203.82000000000002</v>
      </c>
      <c r="E32" s="23">
        <f>7*2.07</f>
        <v>14.489999999999998</v>
      </c>
      <c r="F32" s="23"/>
      <c r="G32" s="23"/>
      <c r="H32" s="23">
        <f>58*0.27</f>
        <v>15.66</v>
      </c>
      <c r="I32" s="23"/>
      <c r="J32" s="23"/>
      <c r="K32" s="23"/>
      <c r="L32" s="23"/>
      <c r="M32" s="23"/>
      <c r="N32" s="23"/>
      <c r="O32" s="23">
        <f>183*0.89</f>
        <v>162.87</v>
      </c>
      <c r="P32" s="23"/>
      <c r="Q32" s="23"/>
      <c r="R32" s="23"/>
      <c r="S32" s="25"/>
      <c r="T32" s="25">
        <f>9*1.2</f>
        <v>10.799999999999999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8.25">
      <c r="A33" s="18">
        <f>SUM(0+D33)</f>
        <v>195.8</v>
      </c>
      <c r="B33" s="19" t="s">
        <v>27</v>
      </c>
      <c r="C33" s="20" t="s">
        <v>17</v>
      </c>
      <c r="D33" s="25">
        <f>SUM(E33:AD33)</f>
        <v>195.8</v>
      </c>
      <c r="E33" s="25"/>
      <c r="F33" s="25"/>
      <c r="G33" s="25"/>
      <c r="H33" s="25"/>
      <c r="I33" s="25"/>
      <c r="J33" s="25"/>
      <c r="K33" s="25"/>
      <c r="L33" s="25"/>
      <c r="M33" s="25"/>
      <c r="N33" s="23"/>
      <c r="O33" s="23">
        <f>220*0.89</f>
        <v>195.8</v>
      </c>
      <c r="P33" s="23"/>
      <c r="Q33" s="23"/>
      <c r="R33" s="2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8.25">
      <c r="A34" s="18">
        <f>SUM(0+D34)</f>
        <v>190.46</v>
      </c>
      <c r="B34" s="19" t="s">
        <v>261</v>
      </c>
      <c r="C34" s="20" t="s">
        <v>17</v>
      </c>
      <c r="D34" s="25">
        <f>SUM(E34:AD34)</f>
        <v>190.46</v>
      </c>
      <c r="E34" s="23"/>
      <c r="F34" s="23"/>
      <c r="G34" s="23"/>
      <c r="H34" s="23"/>
      <c r="I34" s="23"/>
      <c r="J34" s="25"/>
      <c r="K34" s="25"/>
      <c r="L34" s="25"/>
      <c r="M34" s="25"/>
      <c r="N34" s="23"/>
      <c r="O34" s="23">
        <f>214*0.89</f>
        <v>190.46</v>
      </c>
      <c r="P34" s="23"/>
      <c r="Q34" s="23"/>
      <c r="R34" s="23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8.25">
      <c r="A35" s="18">
        <f>SUM(0+D35)</f>
        <v>172.64</v>
      </c>
      <c r="B35" s="19" t="s">
        <v>257</v>
      </c>
      <c r="C35" s="20" t="s">
        <v>35</v>
      </c>
      <c r="D35" s="25">
        <f>SUM(E35:AD35)</f>
        <v>172.64</v>
      </c>
      <c r="E35" s="25"/>
      <c r="F35" s="25"/>
      <c r="G35" s="25"/>
      <c r="H35" s="25"/>
      <c r="I35" s="25"/>
      <c r="J35" s="25"/>
      <c r="K35" s="25"/>
      <c r="L35" s="25"/>
      <c r="M35" s="25"/>
      <c r="N35" s="23">
        <f>198*0.38</f>
        <v>75.24</v>
      </c>
      <c r="O35" s="23"/>
      <c r="P35" s="23"/>
      <c r="Q35" s="23">
        <f>104*0.6</f>
        <v>62.4</v>
      </c>
      <c r="R35" s="23"/>
      <c r="S35" s="25"/>
      <c r="T35" s="25"/>
      <c r="U35" s="25"/>
      <c r="V35" s="25"/>
      <c r="W35" s="25">
        <f>20*1.75</f>
        <v>35</v>
      </c>
      <c r="X35" s="25"/>
      <c r="Y35" s="25"/>
      <c r="Z35" s="25"/>
      <c r="AA35" s="25"/>
      <c r="AB35" s="25"/>
      <c r="AC35" s="25"/>
      <c r="AD35" s="25"/>
    </row>
    <row r="36" spans="1:30" ht="8.25">
      <c r="A36" s="18">
        <f>SUM(0+D36)</f>
        <v>167.99999999999997</v>
      </c>
      <c r="B36" s="19" t="s">
        <v>39</v>
      </c>
      <c r="C36" s="20" t="s">
        <v>9</v>
      </c>
      <c r="D36" s="25">
        <f>SUM(E36:AD36)</f>
        <v>167.99999999999997</v>
      </c>
      <c r="E36" s="23">
        <f>74*2.07</f>
        <v>153.17999999999998</v>
      </c>
      <c r="F36" s="23"/>
      <c r="G36" s="23">
        <f>13*1.14</f>
        <v>14.819999999999999</v>
      </c>
      <c r="H36" s="23"/>
      <c r="I36" s="23"/>
      <c r="J36" s="23"/>
      <c r="K36" s="23"/>
      <c r="L36" s="23"/>
      <c r="M36" s="25"/>
      <c r="N36" s="23"/>
      <c r="O36" s="23"/>
      <c r="P36" s="23"/>
      <c r="Q36" s="23"/>
      <c r="R36" s="23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8.25">
      <c r="A37" s="18">
        <f>SUM(0+D37)</f>
        <v>158.55</v>
      </c>
      <c r="B37" s="19" t="s">
        <v>153</v>
      </c>
      <c r="C37" s="20" t="s">
        <v>37</v>
      </c>
      <c r="D37" s="25">
        <f>SUM(E37:AD37)</f>
        <v>158.55</v>
      </c>
      <c r="E37" s="23">
        <f>11*2.07</f>
        <v>22.77</v>
      </c>
      <c r="F37" s="23"/>
      <c r="G37" s="23"/>
      <c r="H37" s="23"/>
      <c r="I37" s="23"/>
      <c r="J37" s="23">
        <f>61*1.1</f>
        <v>67.10000000000001</v>
      </c>
      <c r="K37" s="23"/>
      <c r="L37" s="23">
        <f>72*0.44</f>
        <v>31.68</v>
      </c>
      <c r="M37" s="23">
        <v>37</v>
      </c>
      <c r="N37" s="23"/>
      <c r="O37" s="23"/>
      <c r="P37" s="23"/>
      <c r="Q37" s="23"/>
      <c r="R37" s="2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8.25">
      <c r="A38" s="18">
        <f>SUM(0+D38)</f>
        <v>157.10999999999999</v>
      </c>
      <c r="B38" s="19" t="s">
        <v>232</v>
      </c>
      <c r="C38" s="20" t="s">
        <v>21</v>
      </c>
      <c r="D38" s="25">
        <f>SUM(E38:AD38)</f>
        <v>157.10999999999999</v>
      </c>
      <c r="E38" s="23"/>
      <c r="F38" s="23"/>
      <c r="G38" s="23"/>
      <c r="H38" s="23"/>
      <c r="I38" s="23">
        <f>9*0.96</f>
        <v>8.64</v>
      </c>
      <c r="J38" s="25"/>
      <c r="K38" s="23"/>
      <c r="L38" s="23"/>
      <c r="M38" s="25"/>
      <c r="N38" s="23"/>
      <c r="O38" s="23"/>
      <c r="P38" s="23"/>
      <c r="Q38" s="23"/>
      <c r="R38" s="23"/>
      <c r="S38" s="25"/>
      <c r="T38" s="25">
        <f>44*1.2</f>
        <v>52.8</v>
      </c>
      <c r="U38" s="25"/>
      <c r="V38" s="25">
        <f>19*0.91</f>
        <v>17.29</v>
      </c>
      <c r="W38" s="25">
        <f>38*1.75</f>
        <v>66.5</v>
      </c>
      <c r="X38" s="25"/>
      <c r="Y38" s="25">
        <f>11*1.08</f>
        <v>11.88</v>
      </c>
      <c r="Z38" s="25"/>
      <c r="AA38" s="25"/>
      <c r="AB38" s="25"/>
      <c r="AC38" s="25"/>
      <c r="AD38" s="25"/>
    </row>
    <row r="39" spans="1:30" ht="8.25">
      <c r="A39" s="18">
        <f>SUM(0+D39)</f>
        <v>146.76</v>
      </c>
      <c r="B39" s="19" t="s">
        <v>164</v>
      </c>
      <c r="C39" s="20" t="s">
        <v>21</v>
      </c>
      <c r="D39" s="25">
        <f>SUM(E39:AD39)</f>
        <v>146.76</v>
      </c>
      <c r="E39" s="23">
        <f>8*2.07</f>
        <v>16.56</v>
      </c>
      <c r="F39" s="23"/>
      <c r="G39" s="23"/>
      <c r="H39" s="23"/>
      <c r="I39" s="23">
        <f>58*0.96</f>
        <v>55.68</v>
      </c>
      <c r="J39" s="23"/>
      <c r="K39" s="23"/>
      <c r="L39" s="23"/>
      <c r="M39" s="23"/>
      <c r="N39" s="23"/>
      <c r="O39" s="23"/>
      <c r="P39" s="23"/>
      <c r="Q39" s="23"/>
      <c r="R39" s="23"/>
      <c r="S39" s="25"/>
      <c r="T39" s="25"/>
      <c r="U39" s="25"/>
      <c r="V39" s="25"/>
      <c r="W39" s="25"/>
      <c r="X39" s="25"/>
      <c r="Y39" s="25">
        <f>69*1.08</f>
        <v>74.52000000000001</v>
      </c>
      <c r="Z39" s="25"/>
      <c r="AA39" s="25"/>
      <c r="AB39" s="25"/>
      <c r="AC39" s="25"/>
      <c r="AD39" s="25"/>
    </row>
    <row r="40" spans="1:30" ht="8.25">
      <c r="A40" s="18">
        <f>SUM(0+D40)</f>
        <v>142.4</v>
      </c>
      <c r="B40" s="19" t="s">
        <v>262</v>
      </c>
      <c r="C40" s="20" t="s">
        <v>17</v>
      </c>
      <c r="D40" s="25">
        <f>SUM(E40:AD40)</f>
        <v>142.4</v>
      </c>
      <c r="E40" s="25"/>
      <c r="F40" s="25"/>
      <c r="G40" s="25"/>
      <c r="H40" s="25"/>
      <c r="I40" s="25"/>
      <c r="J40" s="25"/>
      <c r="K40" s="25"/>
      <c r="L40" s="25"/>
      <c r="M40" s="25"/>
      <c r="N40" s="23"/>
      <c r="O40" s="23">
        <f>160*0.89</f>
        <v>142.4</v>
      </c>
      <c r="P40" s="23"/>
      <c r="Q40" s="23"/>
      <c r="R40" s="23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8.25">
      <c r="A41" s="18">
        <f>SUM(0+D41)</f>
        <v>134.25</v>
      </c>
      <c r="B41" s="19" t="s">
        <v>214</v>
      </c>
      <c r="C41" s="20" t="s">
        <v>17</v>
      </c>
      <c r="D41" s="25">
        <f>SUM(E41:AD41)</f>
        <v>134.25</v>
      </c>
      <c r="E41" s="25"/>
      <c r="F41" s="25"/>
      <c r="G41" s="25"/>
      <c r="H41" s="25"/>
      <c r="I41" s="25"/>
      <c r="J41" s="25"/>
      <c r="K41" s="25"/>
      <c r="L41" s="25"/>
      <c r="M41" s="25"/>
      <c r="N41" s="23"/>
      <c r="O41" s="23">
        <f>144*0.89</f>
        <v>128.16</v>
      </c>
      <c r="P41" s="23">
        <f>9*0.25</f>
        <v>2.25</v>
      </c>
      <c r="Q41" s="23"/>
      <c r="R41" s="23"/>
      <c r="S41" s="25"/>
      <c r="T41" s="25"/>
      <c r="U41" s="25"/>
      <c r="V41" s="25"/>
      <c r="W41" s="25"/>
      <c r="X41" s="25">
        <f>8*0.48</f>
        <v>3.84</v>
      </c>
      <c r="Y41" s="25"/>
      <c r="Z41" s="25"/>
      <c r="AA41" s="25"/>
      <c r="AB41" s="25"/>
      <c r="AC41" s="25"/>
      <c r="AD41" s="25"/>
    </row>
    <row r="42" spans="1:30" ht="8.25">
      <c r="A42" s="18">
        <f>SUM(0+D42)</f>
        <v>130.79999999999998</v>
      </c>
      <c r="B42" s="19" t="s">
        <v>279</v>
      </c>
      <c r="C42" s="20" t="s">
        <v>24</v>
      </c>
      <c r="D42" s="25">
        <f>SUM(E42:AD42)</f>
        <v>130.79999999999998</v>
      </c>
      <c r="E42" s="25"/>
      <c r="F42" s="25"/>
      <c r="G42" s="25"/>
      <c r="H42" s="25"/>
      <c r="I42" s="25"/>
      <c r="J42" s="25"/>
      <c r="K42" s="25"/>
      <c r="L42" s="25"/>
      <c r="M42" s="25"/>
      <c r="N42" s="23"/>
      <c r="O42" s="23"/>
      <c r="P42" s="23"/>
      <c r="Q42" s="23"/>
      <c r="R42" s="23"/>
      <c r="S42" s="25"/>
      <c r="T42" s="25">
        <f>109*1.2</f>
        <v>130.79999999999998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8.25">
      <c r="A43" s="18">
        <f>SUM(0+D43)</f>
        <v>122.5</v>
      </c>
      <c r="B43" s="19" t="s">
        <v>289</v>
      </c>
      <c r="C43" s="20" t="s">
        <v>21</v>
      </c>
      <c r="D43" s="25">
        <f>SUM(E43:AD43)</f>
        <v>122.5</v>
      </c>
      <c r="E43" s="25"/>
      <c r="F43" s="25"/>
      <c r="G43" s="25"/>
      <c r="H43" s="25"/>
      <c r="I43" s="25"/>
      <c r="J43" s="25"/>
      <c r="K43" s="25"/>
      <c r="L43" s="25"/>
      <c r="M43" s="25"/>
      <c r="N43" s="23"/>
      <c r="O43" s="23"/>
      <c r="P43" s="23"/>
      <c r="Q43" s="23"/>
      <c r="R43" s="23"/>
      <c r="S43" s="25"/>
      <c r="T43" s="25"/>
      <c r="U43" s="25"/>
      <c r="V43" s="25"/>
      <c r="W43" s="25">
        <f>70*1.75</f>
        <v>122.5</v>
      </c>
      <c r="X43" s="25"/>
      <c r="Y43" s="25"/>
      <c r="Z43" s="25"/>
      <c r="AA43" s="25"/>
      <c r="AB43" s="25"/>
      <c r="AC43" s="25"/>
      <c r="AD43" s="25"/>
    </row>
    <row r="44" spans="1:30" ht="8.25">
      <c r="A44" s="18">
        <f>SUM(0+D44)</f>
        <v>113.88999999999999</v>
      </c>
      <c r="B44" s="19" t="s">
        <v>197</v>
      </c>
      <c r="C44" s="20" t="s">
        <v>35</v>
      </c>
      <c r="D44" s="25">
        <f>SUM(E44:AD44)</f>
        <v>113.88999999999999</v>
      </c>
      <c r="E44" s="23">
        <f>29*2.07</f>
        <v>60.029999999999994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>
        <f>49*0.6</f>
        <v>29.4</v>
      </c>
      <c r="R44" s="23"/>
      <c r="S44" s="25"/>
      <c r="T44" s="25"/>
      <c r="U44" s="25">
        <f>67*0.13</f>
        <v>8.71</v>
      </c>
      <c r="V44" s="25"/>
      <c r="W44" s="25">
        <f>9*1.75</f>
        <v>15.75</v>
      </c>
      <c r="X44" s="25"/>
      <c r="Y44" s="25"/>
      <c r="Z44" s="25"/>
      <c r="AA44" s="25"/>
      <c r="AB44" s="25"/>
      <c r="AC44" s="25"/>
      <c r="AD44" s="25"/>
    </row>
    <row r="45" spans="1:30" ht="8.25">
      <c r="A45" s="18">
        <f>SUM(0+D45)</f>
        <v>105.12</v>
      </c>
      <c r="B45" s="19" t="s">
        <v>238</v>
      </c>
      <c r="C45" s="20" t="s">
        <v>5</v>
      </c>
      <c r="D45" s="25">
        <f>SUM(E45:AD45)</f>
        <v>105.12</v>
      </c>
      <c r="E45" s="23"/>
      <c r="F45" s="23">
        <f>114*0.16</f>
        <v>18.240000000000002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5"/>
      <c r="T45" s="25"/>
      <c r="U45" s="25"/>
      <c r="V45" s="25"/>
      <c r="W45" s="25"/>
      <c r="X45" s="25">
        <f>181*0.48</f>
        <v>86.88</v>
      </c>
      <c r="Y45" s="25"/>
      <c r="Z45" s="25"/>
      <c r="AA45" s="25"/>
      <c r="AB45" s="25"/>
      <c r="AC45" s="25"/>
      <c r="AD45" s="25"/>
    </row>
    <row r="46" spans="1:30" ht="8.25">
      <c r="A46" s="26">
        <f>SUM(0+D46)</f>
        <v>102.00999999999999</v>
      </c>
      <c r="B46" s="19" t="s">
        <v>83</v>
      </c>
      <c r="C46" s="20"/>
      <c r="D46" s="25">
        <f>SUM(E46:AD46)</f>
        <v>102.00999999999999</v>
      </c>
      <c r="E46" s="23">
        <f>33*2.07</f>
        <v>68.30999999999999</v>
      </c>
      <c r="F46" s="23"/>
      <c r="G46" s="23"/>
      <c r="H46" s="23"/>
      <c r="I46" s="23"/>
      <c r="J46" s="23"/>
      <c r="K46" s="23"/>
      <c r="L46" s="23"/>
      <c r="M46" s="23"/>
      <c r="N46" s="23">
        <f>47*0.38</f>
        <v>17.86</v>
      </c>
      <c r="O46" s="23"/>
      <c r="P46" s="23"/>
      <c r="Q46" s="23"/>
      <c r="R46" s="23"/>
      <c r="S46" s="25"/>
      <c r="T46" s="25"/>
      <c r="U46" s="25"/>
      <c r="V46" s="25"/>
      <c r="W46" s="25"/>
      <c r="X46" s="25">
        <f>33*0.48</f>
        <v>15.84</v>
      </c>
      <c r="Y46" s="25"/>
      <c r="Z46" s="25"/>
      <c r="AA46" s="25"/>
      <c r="AB46" s="25"/>
      <c r="AC46" s="25"/>
      <c r="AD46" s="25"/>
    </row>
    <row r="47" spans="1:30" ht="8.25">
      <c r="A47" s="28">
        <f>SUM(0+D47)</f>
        <v>101.07000000000001</v>
      </c>
      <c r="B47" s="19" t="s">
        <v>222</v>
      </c>
      <c r="C47" s="20" t="s">
        <v>17</v>
      </c>
      <c r="D47" s="25">
        <f>SUM(E47:AD47)</f>
        <v>101.07000000000001</v>
      </c>
      <c r="E47" s="23"/>
      <c r="F47" s="23"/>
      <c r="G47" s="23"/>
      <c r="H47" s="23">
        <f>126*0.27</f>
        <v>34.02</v>
      </c>
      <c r="I47" s="23"/>
      <c r="J47" s="23"/>
      <c r="K47" s="23"/>
      <c r="L47" s="23"/>
      <c r="M47" s="25">
        <v>25</v>
      </c>
      <c r="N47" s="23"/>
      <c r="O47" s="23">
        <f>25*0.89</f>
        <v>22.25</v>
      </c>
      <c r="P47" s="23"/>
      <c r="Q47" s="23"/>
      <c r="R47" s="23">
        <f>90*0.22</f>
        <v>19.8</v>
      </c>
      <c r="S47" s="25"/>
      <c r="T47" s="25"/>
      <c r="U47" s="23"/>
      <c r="V47" s="23"/>
      <c r="W47" s="25"/>
      <c r="X47" s="25"/>
      <c r="Y47" s="25"/>
      <c r="Z47" s="25"/>
      <c r="AA47" s="25"/>
      <c r="AB47" s="25"/>
      <c r="AC47" s="25"/>
      <c r="AD47" s="25"/>
    </row>
    <row r="48" spans="1:30" ht="8.25">
      <c r="A48" s="18">
        <f>SUM(0+D48)</f>
        <v>93.47999999999999</v>
      </c>
      <c r="B48" s="19" t="s">
        <v>204</v>
      </c>
      <c r="C48" s="20" t="s">
        <v>7</v>
      </c>
      <c r="D48" s="25">
        <f>SUM(E48:AD48)</f>
        <v>93.47999999999999</v>
      </c>
      <c r="E48" s="23"/>
      <c r="F48" s="23"/>
      <c r="G48" s="23">
        <f>82*1.14</f>
        <v>93.47999999999999</v>
      </c>
      <c r="H48" s="23"/>
      <c r="I48" s="23"/>
      <c r="J48" s="23"/>
      <c r="K48" s="23"/>
      <c r="L48" s="23"/>
      <c r="M48" s="25"/>
      <c r="N48" s="23"/>
      <c r="O48" s="23"/>
      <c r="P48" s="23"/>
      <c r="Q48" s="23"/>
      <c r="R48" s="23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8.25">
      <c r="A49" s="18">
        <f>SUM(0+D49)</f>
        <v>90.78</v>
      </c>
      <c r="B49" s="19" t="s">
        <v>263</v>
      </c>
      <c r="C49" s="20" t="s">
        <v>17</v>
      </c>
      <c r="D49" s="25">
        <f>SUM(E49:AD49)</f>
        <v>90.78</v>
      </c>
      <c r="E49" s="25"/>
      <c r="F49" s="25"/>
      <c r="G49" s="25"/>
      <c r="H49" s="25"/>
      <c r="I49" s="25"/>
      <c r="J49" s="25"/>
      <c r="K49" s="25"/>
      <c r="L49" s="25"/>
      <c r="M49" s="25"/>
      <c r="N49" s="23"/>
      <c r="O49" s="23">
        <f>102*0.89</f>
        <v>90.78</v>
      </c>
      <c r="P49" s="23"/>
      <c r="Q49" s="23"/>
      <c r="R49" s="23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8.25">
      <c r="A50" s="18">
        <f>SUM(0+D50)</f>
        <v>87.57</v>
      </c>
      <c r="B50" s="19" t="s">
        <v>199</v>
      </c>
      <c r="C50" s="20" t="s">
        <v>35</v>
      </c>
      <c r="D50" s="25">
        <f>SUM(E50:AD50)</f>
        <v>87.57</v>
      </c>
      <c r="E50" s="23">
        <f>22*2.07</f>
        <v>45.54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>44*0.6</f>
        <v>26.4</v>
      </c>
      <c r="R50" s="23"/>
      <c r="S50" s="25"/>
      <c r="T50" s="25"/>
      <c r="U50" s="25">
        <f>26*0.13</f>
        <v>3.38</v>
      </c>
      <c r="V50" s="25"/>
      <c r="W50" s="25">
        <f>7*1.75</f>
        <v>12.25</v>
      </c>
      <c r="X50" s="25"/>
      <c r="Y50" s="25"/>
      <c r="Z50" s="25"/>
      <c r="AA50" s="25"/>
      <c r="AB50" s="25"/>
      <c r="AC50" s="25"/>
      <c r="AD50" s="25"/>
    </row>
    <row r="51" spans="1:30" ht="8.25">
      <c r="A51" s="18">
        <f>SUM(0+D51)</f>
        <v>80.94</v>
      </c>
      <c r="B51" s="19" t="s">
        <v>189</v>
      </c>
      <c r="C51" s="20" t="s">
        <v>7</v>
      </c>
      <c r="D51" s="25">
        <f>SUM(E51:AD51)</f>
        <v>80.94</v>
      </c>
      <c r="E51" s="23"/>
      <c r="F51" s="23"/>
      <c r="G51" s="23">
        <f>71*1.14</f>
        <v>80.94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8.25">
      <c r="A52" s="18">
        <f>SUM(0+D52)</f>
        <v>77.91999999999999</v>
      </c>
      <c r="B52" s="19" t="s">
        <v>198</v>
      </c>
      <c r="C52" s="20"/>
      <c r="D52" s="25">
        <f>SUM(E52:AD52)</f>
        <v>77.91999999999999</v>
      </c>
      <c r="E52" s="23">
        <f>26*2.07</f>
        <v>53.81999999999999</v>
      </c>
      <c r="F52" s="23">
        <f>58*0.16</f>
        <v>9.28</v>
      </c>
      <c r="G52" s="23"/>
      <c r="H52" s="23"/>
      <c r="I52" s="23"/>
      <c r="J52" s="23"/>
      <c r="K52" s="23"/>
      <c r="L52" s="23"/>
      <c r="M52" s="23"/>
      <c r="N52" s="23">
        <f>39*0.38</f>
        <v>14.82</v>
      </c>
      <c r="O52" s="23"/>
      <c r="P52" s="23"/>
      <c r="Q52" s="23"/>
      <c r="R52" s="23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8.25">
      <c r="A53" s="18">
        <f>SUM(0+D53)</f>
        <v>71.38</v>
      </c>
      <c r="B53" s="19" t="s">
        <v>223</v>
      </c>
      <c r="C53" s="20" t="s">
        <v>17</v>
      </c>
      <c r="D53" s="25">
        <f>SUM(E53:AD53)</f>
        <v>71.38</v>
      </c>
      <c r="E53" s="25"/>
      <c r="F53" s="23"/>
      <c r="G53" s="23"/>
      <c r="H53" s="23">
        <f>79*0.27</f>
        <v>21.330000000000002</v>
      </c>
      <c r="I53" s="23"/>
      <c r="J53" s="23"/>
      <c r="K53" s="23"/>
      <c r="L53" s="23"/>
      <c r="M53" s="25"/>
      <c r="N53" s="23"/>
      <c r="O53" s="23">
        <f>33*0.89</f>
        <v>29.37</v>
      </c>
      <c r="P53" s="23"/>
      <c r="Q53" s="23"/>
      <c r="R53" s="23">
        <f>94*0.22</f>
        <v>20.68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8.25">
      <c r="A54" s="18">
        <f>SUM(0+D54)</f>
        <v>68.38</v>
      </c>
      <c r="B54" s="19" t="s">
        <v>142</v>
      </c>
      <c r="C54" s="20" t="s">
        <v>21</v>
      </c>
      <c r="D54" s="25">
        <f>SUM(E54:AD54)</f>
        <v>68.38</v>
      </c>
      <c r="E54" s="25"/>
      <c r="F54" s="23"/>
      <c r="G54" s="25"/>
      <c r="H54" s="25"/>
      <c r="I54" s="25"/>
      <c r="J54" s="25"/>
      <c r="K54" s="23">
        <f>52*0.65</f>
        <v>33.800000000000004</v>
      </c>
      <c r="L54" s="23"/>
      <c r="M54" s="25"/>
      <c r="N54" s="23"/>
      <c r="O54" s="23"/>
      <c r="P54" s="23"/>
      <c r="Q54" s="23"/>
      <c r="R54" s="23"/>
      <c r="S54" s="25"/>
      <c r="T54" s="25"/>
      <c r="U54" s="25"/>
      <c r="V54" s="25">
        <f>38*0.91</f>
        <v>34.58</v>
      </c>
      <c r="W54" s="25"/>
      <c r="X54" s="25"/>
      <c r="Y54" s="25"/>
      <c r="Z54" s="25"/>
      <c r="AA54" s="25"/>
      <c r="AB54" s="25"/>
      <c r="AC54" s="25"/>
      <c r="AD54" s="25"/>
    </row>
    <row r="55" spans="1:30" ht="8.25">
      <c r="A55" s="18">
        <f>SUM(0+D55)</f>
        <v>62.300000000000004</v>
      </c>
      <c r="B55" s="19" t="s">
        <v>36</v>
      </c>
      <c r="C55" s="20" t="s">
        <v>17</v>
      </c>
      <c r="D55" s="25">
        <f>SUM(E55:AD55)</f>
        <v>62.300000000000004</v>
      </c>
      <c r="E55" s="25"/>
      <c r="F55" s="25"/>
      <c r="G55" s="25"/>
      <c r="H55" s="25"/>
      <c r="I55" s="25"/>
      <c r="J55" s="25"/>
      <c r="K55" s="25"/>
      <c r="L55" s="25"/>
      <c r="M55" s="25"/>
      <c r="N55" s="23"/>
      <c r="O55" s="23">
        <f>70*0.89</f>
        <v>62.300000000000004</v>
      </c>
      <c r="P55" s="23"/>
      <c r="Q55" s="23"/>
      <c r="R55" s="23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8.25">
      <c r="A56" s="18">
        <f>SUM(0+D56)</f>
        <v>60.669999999999995</v>
      </c>
      <c r="B56" s="19" t="s">
        <v>20</v>
      </c>
      <c r="C56" s="20" t="s">
        <v>17</v>
      </c>
      <c r="D56" s="25">
        <f>SUM(E56:AD56)</f>
        <v>60.669999999999995</v>
      </c>
      <c r="E56" s="23">
        <f>13*2.07</f>
        <v>26.909999999999997</v>
      </c>
      <c r="F56" s="23"/>
      <c r="G56" s="23"/>
      <c r="H56" s="23">
        <f>33*0.27</f>
        <v>8.91</v>
      </c>
      <c r="I56" s="23"/>
      <c r="J56" s="23"/>
      <c r="K56" s="23">
        <f>9*0.65</f>
        <v>5.8500000000000005</v>
      </c>
      <c r="L56" s="23"/>
      <c r="M56" s="25"/>
      <c r="N56" s="23"/>
      <c r="O56" s="23"/>
      <c r="P56" s="23">
        <f>76*0.25</f>
        <v>19</v>
      </c>
      <c r="Q56" s="23"/>
      <c r="R56" s="23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8.25">
      <c r="A57" s="18">
        <f>SUM(0+D57)</f>
        <v>57.75</v>
      </c>
      <c r="B57" s="19" t="s">
        <v>290</v>
      </c>
      <c r="C57" s="20" t="s">
        <v>26</v>
      </c>
      <c r="D57" s="25">
        <f>SUM(E57:AD57)</f>
        <v>57.75</v>
      </c>
      <c r="E57" s="25"/>
      <c r="F57" s="25"/>
      <c r="G57" s="25"/>
      <c r="H57" s="25"/>
      <c r="I57" s="25"/>
      <c r="J57" s="25"/>
      <c r="K57" s="25"/>
      <c r="L57" s="25"/>
      <c r="M57" s="25"/>
      <c r="N57" s="23"/>
      <c r="O57" s="23"/>
      <c r="P57" s="23"/>
      <c r="Q57" s="23"/>
      <c r="R57" s="23"/>
      <c r="S57" s="25"/>
      <c r="T57" s="25"/>
      <c r="U57" s="25"/>
      <c r="V57" s="25"/>
      <c r="W57" s="25">
        <f>33*1.75</f>
        <v>57.75</v>
      </c>
      <c r="X57" s="25"/>
      <c r="Y57" s="25"/>
      <c r="Z57" s="25"/>
      <c r="AA57" s="25"/>
      <c r="AB57" s="25"/>
      <c r="AC57" s="25"/>
      <c r="AD57" s="25"/>
    </row>
    <row r="58" spans="1:30" ht="8.25">
      <c r="A58" s="18">
        <f>SUM(0+D58)</f>
        <v>57.519999999999996</v>
      </c>
      <c r="B58" s="19" t="s">
        <v>295</v>
      </c>
      <c r="C58" s="20" t="s">
        <v>35</v>
      </c>
      <c r="D58" s="25">
        <f>SUM(E58:AD58)</f>
        <v>57.519999999999996</v>
      </c>
      <c r="E58" s="25"/>
      <c r="F58" s="25"/>
      <c r="G58" s="25"/>
      <c r="H58" s="25"/>
      <c r="I58" s="25"/>
      <c r="J58" s="25"/>
      <c r="K58" s="25"/>
      <c r="L58" s="25"/>
      <c r="M58" s="25"/>
      <c r="N58" s="23"/>
      <c r="O58" s="23"/>
      <c r="P58" s="23"/>
      <c r="Q58" s="23">
        <f>69*0.6</f>
        <v>41.4</v>
      </c>
      <c r="R58" s="23"/>
      <c r="S58" s="25"/>
      <c r="T58" s="25"/>
      <c r="U58" s="25">
        <f>124*0.13</f>
        <v>16.12</v>
      </c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ht="8.25">
      <c r="A59" s="18">
        <f>SUM(0+D59)</f>
        <v>54.68</v>
      </c>
      <c r="B59" s="19" t="s">
        <v>224</v>
      </c>
      <c r="C59" s="20" t="s">
        <v>17</v>
      </c>
      <c r="D59" s="25">
        <f>SUM(E59:AD59)</f>
        <v>54.68</v>
      </c>
      <c r="E59" s="23"/>
      <c r="F59" s="23"/>
      <c r="G59" s="23"/>
      <c r="H59" s="23">
        <f>41*0.27</f>
        <v>11.07</v>
      </c>
      <c r="I59" s="23"/>
      <c r="J59" s="23"/>
      <c r="K59" s="23"/>
      <c r="L59" s="23"/>
      <c r="M59" s="25"/>
      <c r="N59" s="23"/>
      <c r="O59" s="23">
        <f>49*0.89</f>
        <v>43.61</v>
      </c>
      <c r="P59" s="23"/>
      <c r="Q59" s="23"/>
      <c r="R59" s="23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ht="8.25">
      <c r="A60" s="18">
        <f>SUM(0+D60)</f>
        <v>52.67</v>
      </c>
      <c r="B60" s="19" t="s">
        <v>264</v>
      </c>
      <c r="C60" s="20" t="s">
        <v>17</v>
      </c>
      <c r="D60" s="25">
        <f>SUM(E60:AD60)</f>
        <v>52.67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>
        <f>43*0.89</f>
        <v>38.27</v>
      </c>
      <c r="P60" s="23"/>
      <c r="Q60" s="23"/>
      <c r="R60" s="23"/>
      <c r="S60" s="25">
        <f>72*0.2</f>
        <v>14.4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8.25">
      <c r="A61" s="18">
        <f>SUM(0+D61)</f>
        <v>46.4</v>
      </c>
      <c r="B61" s="19" t="s">
        <v>216</v>
      </c>
      <c r="C61" s="20" t="s">
        <v>14</v>
      </c>
      <c r="D61" s="25">
        <f>SUM(E61:AD61)</f>
        <v>46.4</v>
      </c>
      <c r="E61" s="23"/>
      <c r="F61" s="23"/>
      <c r="G61" s="23"/>
      <c r="H61" s="23"/>
      <c r="I61" s="23"/>
      <c r="J61" s="23">
        <f>40*1.1</f>
        <v>44</v>
      </c>
      <c r="K61" s="23"/>
      <c r="L61" s="23"/>
      <c r="M61" s="23"/>
      <c r="N61" s="23"/>
      <c r="O61" s="23"/>
      <c r="P61" s="23"/>
      <c r="Q61" s="23"/>
      <c r="R61" s="23"/>
      <c r="S61" s="25"/>
      <c r="T61" s="25">
        <f>2*1.2</f>
        <v>2.4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ht="8.25">
      <c r="A62" s="18">
        <f>SUM(0+D62)</f>
        <v>45.6</v>
      </c>
      <c r="B62" s="19" t="s">
        <v>280</v>
      </c>
      <c r="C62" s="20" t="s">
        <v>24</v>
      </c>
      <c r="D62" s="25">
        <f>SUM(E62:AD62)</f>
        <v>45.6</v>
      </c>
      <c r="E62" s="25"/>
      <c r="F62" s="25"/>
      <c r="G62" s="25"/>
      <c r="H62" s="25"/>
      <c r="I62" s="25"/>
      <c r="J62" s="25"/>
      <c r="K62" s="25"/>
      <c r="L62" s="25"/>
      <c r="M62" s="25"/>
      <c r="N62" s="23"/>
      <c r="O62" s="23"/>
      <c r="P62" s="23"/>
      <c r="Q62" s="23"/>
      <c r="R62" s="23"/>
      <c r="S62" s="25"/>
      <c r="T62" s="25">
        <f>38*1.2</f>
        <v>45.6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8.25">
      <c r="A63" s="18">
        <f>SUM(0+D63)</f>
        <v>45.599999999999994</v>
      </c>
      <c r="B63" s="19" t="s">
        <v>205</v>
      </c>
      <c r="C63" s="20" t="s">
        <v>7</v>
      </c>
      <c r="D63" s="25">
        <f>SUM(E63:AD63)</f>
        <v>45.599999999999994</v>
      </c>
      <c r="E63" s="25"/>
      <c r="F63" s="23"/>
      <c r="G63" s="23">
        <f>40*1.14</f>
        <v>45.599999999999994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ht="8.25" customHeight="1">
      <c r="A64" s="18">
        <f>SUM(0+D64)</f>
        <v>44.800000000000004</v>
      </c>
      <c r="B64" s="19" t="s">
        <v>272</v>
      </c>
      <c r="C64" s="20" t="s">
        <v>17</v>
      </c>
      <c r="D64" s="25">
        <f>SUM(E64:AD64)</f>
        <v>44.800000000000004</v>
      </c>
      <c r="E64" s="23"/>
      <c r="F64" s="23"/>
      <c r="G64" s="23"/>
      <c r="H64" s="23"/>
      <c r="I64" s="23"/>
      <c r="J64" s="25"/>
      <c r="K64" s="25"/>
      <c r="L64" s="25"/>
      <c r="M64" s="25"/>
      <c r="N64" s="25"/>
      <c r="O64" s="25"/>
      <c r="P64" s="25"/>
      <c r="Q64" s="25"/>
      <c r="R64" s="23"/>
      <c r="S64" s="25">
        <f>224*0.2</f>
        <v>44.800000000000004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ht="8.25">
      <c r="A65" s="18">
        <f>SUM(0+D65)</f>
        <v>42.7</v>
      </c>
      <c r="B65" s="19" t="s">
        <v>182</v>
      </c>
      <c r="C65" s="20" t="s">
        <v>14</v>
      </c>
      <c r="D65" s="25">
        <f>SUM(E65:AD65)</f>
        <v>42.7</v>
      </c>
      <c r="E65" s="23"/>
      <c r="F65" s="23"/>
      <c r="G65" s="23"/>
      <c r="H65" s="23"/>
      <c r="I65" s="23">
        <f>20*0.96</f>
        <v>19.2</v>
      </c>
      <c r="J65" s="23"/>
      <c r="K65" s="23">
        <f>20*0.65</f>
        <v>13</v>
      </c>
      <c r="L65" s="23"/>
      <c r="M65" s="23"/>
      <c r="N65" s="23"/>
      <c r="O65" s="23"/>
      <c r="P65" s="23"/>
      <c r="Q65" s="23"/>
      <c r="R65" s="23"/>
      <c r="S65" s="25"/>
      <c r="T65" s="25"/>
      <c r="U65" s="25"/>
      <c r="V65" s="25"/>
      <c r="W65" s="25">
        <f>6*1.75</f>
        <v>10.5</v>
      </c>
      <c r="X65" s="25"/>
      <c r="Y65" s="25"/>
      <c r="Z65" s="25"/>
      <c r="AA65" s="25"/>
      <c r="AB65" s="25"/>
      <c r="AC65" s="25"/>
      <c r="AD65" s="25"/>
    </row>
    <row r="66" spans="1:30" ht="8.25">
      <c r="A66" s="18">
        <f>SUM(0+D66)</f>
        <v>42</v>
      </c>
      <c r="B66" s="19" t="s">
        <v>234</v>
      </c>
      <c r="C66" s="20" t="s">
        <v>24</v>
      </c>
      <c r="D66" s="25">
        <f>SUM(E66:AD66)</f>
        <v>42</v>
      </c>
      <c r="E66" s="25"/>
      <c r="F66" s="25"/>
      <c r="G66" s="25"/>
      <c r="H66" s="25"/>
      <c r="I66" s="25"/>
      <c r="J66" s="25"/>
      <c r="K66" s="25"/>
      <c r="L66" s="25"/>
      <c r="M66" s="25"/>
      <c r="N66" s="23"/>
      <c r="O66" s="23"/>
      <c r="P66" s="23"/>
      <c r="Q66" s="23"/>
      <c r="R66" s="23"/>
      <c r="S66" s="25"/>
      <c r="T66" s="25">
        <f>35*1.2</f>
        <v>42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8.25">
      <c r="A67" s="18">
        <f>SUM(0+D67)</f>
        <v>41.3</v>
      </c>
      <c r="B67" s="19" t="s">
        <v>206</v>
      </c>
      <c r="C67" s="20" t="s">
        <v>7</v>
      </c>
      <c r="D67" s="25">
        <f>SUM(E67:AD67)</f>
        <v>41.3</v>
      </c>
      <c r="E67" s="25"/>
      <c r="F67" s="23"/>
      <c r="G67" s="23">
        <f>15*1.14</f>
        <v>17.099999999999998</v>
      </c>
      <c r="H67" s="23"/>
      <c r="I67" s="23"/>
      <c r="J67" s="23">
        <f>22*1.1</f>
        <v>24.200000000000003</v>
      </c>
      <c r="K67" s="23"/>
      <c r="L67" s="23"/>
      <c r="M67" s="25"/>
      <c r="N67" s="23"/>
      <c r="O67" s="23"/>
      <c r="P67" s="23"/>
      <c r="Q67" s="23"/>
      <c r="R67" s="23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8.25">
      <c r="A68" s="18">
        <f>SUM(0+D68)</f>
        <v>40.260000000000005</v>
      </c>
      <c r="B68" s="19" t="s">
        <v>217</v>
      </c>
      <c r="C68" s="20" t="s">
        <v>37</v>
      </c>
      <c r="D68" s="25">
        <f>SUM(E68:AD68)</f>
        <v>40.260000000000005</v>
      </c>
      <c r="E68" s="25"/>
      <c r="F68" s="23"/>
      <c r="G68" s="23"/>
      <c r="H68" s="23"/>
      <c r="I68" s="23"/>
      <c r="J68" s="23">
        <f>21*1.1</f>
        <v>23.1</v>
      </c>
      <c r="K68" s="23"/>
      <c r="L68" s="23">
        <f>39*0.44</f>
        <v>17.16</v>
      </c>
      <c r="M68" s="25"/>
      <c r="N68" s="23"/>
      <c r="O68" s="23"/>
      <c r="P68" s="23"/>
      <c r="Q68" s="23"/>
      <c r="R68" s="23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ht="8.25">
      <c r="A69" s="18">
        <f>SUM(0+D69)</f>
        <v>36.6</v>
      </c>
      <c r="B69" s="19" t="s">
        <v>273</v>
      </c>
      <c r="C69" s="20" t="s">
        <v>17</v>
      </c>
      <c r="D69" s="25">
        <f>SUM(E69:AD69)</f>
        <v>36.6</v>
      </c>
      <c r="E69" s="25"/>
      <c r="F69" s="25"/>
      <c r="G69" s="25"/>
      <c r="H69" s="25"/>
      <c r="I69" s="25"/>
      <c r="J69" s="23"/>
      <c r="K69" s="23"/>
      <c r="L69" s="23"/>
      <c r="M69" s="23"/>
      <c r="N69" s="23"/>
      <c r="O69" s="23"/>
      <c r="P69" s="23"/>
      <c r="Q69" s="23"/>
      <c r="R69" s="23"/>
      <c r="S69" s="25">
        <f>183*0.2</f>
        <v>36.6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ht="8.25">
      <c r="A70" s="18">
        <f>SUM(0+D70)</f>
        <v>30.6</v>
      </c>
      <c r="B70" s="19" t="s">
        <v>187</v>
      </c>
      <c r="C70" s="20" t="s">
        <v>7</v>
      </c>
      <c r="D70" s="25">
        <f>SUM(E70:AD70)</f>
        <v>30.6</v>
      </c>
      <c r="E70" s="23">
        <f>10*2.07</f>
        <v>20.7</v>
      </c>
      <c r="F70" s="23"/>
      <c r="G70" s="23"/>
      <c r="H70" s="23"/>
      <c r="I70" s="23"/>
      <c r="J70" s="23">
        <f>9*1.1</f>
        <v>9.9</v>
      </c>
      <c r="K70" s="23"/>
      <c r="L70" s="23"/>
      <c r="M70" s="25"/>
      <c r="N70" s="23"/>
      <c r="O70" s="23"/>
      <c r="P70" s="23"/>
      <c r="Q70" s="23"/>
      <c r="R70" s="23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ht="8.25">
      <c r="A71" s="26">
        <f>SUM(0+D71)</f>
        <v>29.900000000000002</v>
      </c>
      <c r="B71" s="19" t="s">
        <v>25</v>
      </c>
      <c r="C71" s="20" t="s">
        <v>26</v>
      </c>
      <c r="D71" s="25">
        <f>SUM(E71:AD71)</f>
        <v>29.900000000000002</v>
      </c>
      <c r="E71" s="23"/>
      <c r="F71" s="23"/>
      <c r="G71" s="23"/>
      <c r="H71" s="23"/>
      <c r="I71" s="23"/>
      <c r="J71" s="23"/>
      <c r="K71" s="23">
        <f>46*0.65</f>
        <v>29.900000000000002</v>
      </c>
      <c r="L71" s="23"/>
      <c r="M71" s="23"/>
      <c r="N71" s="23"/>
      <c r="O71" s="23"/>
      <c r="P71" s="23"/>
      <c r="Q71" s="23"/>
      <c r="R71" s="23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8.25">
      <c r="A72" s="28">
        <f>SUM(0+D72)</f>
        <v>27.45</v>
      </c>
      <c r="B72" s="19" t="s">
        <v>200</v>
      </c>
      <c r="C72" s="20"/>
      <c r="D72" s="25">
        <f>SUM(E72:AD72)</f>
        <v>27.45</v>
      </c>
      <c r="E72" s="23">
        <f>11*2.07</f>
        <v>22.77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5"/>
      <c r="T72" s="25"/>
      <c r="U72" s="25">
        <f>36*0.13</f>
        <v>4.68</v>
      </c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8.25">
      <c r="A73" s="18">
        <f>SUM(0+D73)</f>
        <v>27.36</v>
      </c>
      <c r="B73" s="19" t="s">
        <v>89</v>
      </c>
      <c r="C73" s="20" t="s">
        <v>7</v>
      </c>
      <c r="D73" s="25">
        <f>SUM(E73:AD73)</f>
        <v>27.36</v>
      </c>
      <c r="E73" s="25"/>
      <c r="F73" s="23"/>
      <c r="G73" s="23">
        <f>24*1.14</f>
        <v>27.36</v>
      </c>
      <c r="H73" s="23"/>
      <c r="I73" s="23"/>
      <c r="J73" s="23"/>
      <c r="K73" s="23"/>
      <c r="L73" s="23"/>
      <c r="M73" s="25"/>
      <c r="N73" s="23"/>
      <c r="O73" s="23"/>
      <c r="P73" s="23"/>
      <c r="Q73" s="23"/>
      <c r="R73" s="23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ht="8.25">
      <c r="A74" s="18">
        <f>SUM(0+D74)</f>
        <v>27.08</v>
      </c>
      <c r="B74" s="19" t="s">
        <v>77</v>
      </c>
      <c r="C74" s="20" t="s">
        <v>14</v>
      </c>
      <c r="D74" s="25">
        <f>SUM(E74:AD74)</f>
        <v>27.08</v>
      </c>
      <c r="E74" s="25"/>
      <c r="F74" s="23"/>
      <c r="G74" s="25"/>
      <c r="H74" s="25"/>
      <c r="I74" s="23">
        <f>8*0.96</f>
        <v>7.68</v>
      </c>
      <c r="J74" s="23"/>
      <c r="K74" s="23">
        <f>11*0.65</f>
        <v>7.15</v>
      </c>
      <c r="L74" s="23"/>
      <c r="M74" s="23"/>
      <c r="N74" s="23"/>
      <c r="O74" s="23"/>
      <c r="P74" s="23"/>
      <c r="Q74" s="23"/>
      <c r="R74" s="23"/>
      <c r="S74" s="25"/>
      <c r="T74" s="25"/>
      <c r="U74" s="25"/>
      <c r="V74" s="25"/>
      <c r="W74" s="25">
        <f>7*1.75</f>
        <v>12.25</v>
      </c>
      <c r="X74" s="25"/>
      <c r="Y74" s="25"/>
      <c r="Z74" s="25"/>
      <c r="AA74" s="25"/>
      <c r="AB74" s="25"/>
      <c r="AC74" s="25"/>
      <c r="AD74" s="25"/>
    </row>
    <row r="75" spans="1:30" ht="8.25">
      <c r="A75" s="18">
        <f>SUM(0+D75)</f>
        <v>26.4</v>
      </c>
      <c r="B75" s="19" t="s">
        <v>292</v>
      </c>
      <c r="C75" s="20" t="s">
        <v>35</v>
      </c>
      <c r="D75" s="25">
        <f>SUM(E75:AD75)</f>
        <v>26.4</v>
      </c>
      <c r="E75" s="25"/>
      <c r="F75" s="25"/>
      <c r="G75" s="25"/>
      <c r="H75" s="25"/>
      <c r="I75" s="25"/>
      <c r="J75" s="25"/>
      <c r="K75" s="25"/>
      <c r="L75" s="25"/>
      <c r="M75" s="25"/>
      <c r="N75" s="23"/>
      <c r="O75" s="23"/>
      <c r="P75" s="23"/>
      <c r="Q75" s="23">
        <f>9*0.6</f>
        <v>5.3999999999999995</v>
      </c>
      <c r="R75" s="23"/>
      <c r="S75" s="25"/>
      <c r="T75" s="25"/>
      <c r="U75" s="25"/>
      <c r="V75" s="25"/>
      <c r="W75" s="25">
        <f>12*1.75</f>
        <v>21</v>
      </c>
      <c r="X75" s="25"/>
      <c r="Y75" s="25"/>
      <c r="Z75" s="25"/>
      <c r="AA75" s="25"/>
      <c r="AB75" s="25"/>
      <c r="AC75" s="25"/>
      <c r="AD75" s="25"/>
    </row>
    <row r="76" spans="1:30" ht="8.25">
      <c r="A76" s="18">
        <f>SUM(0+D76)</f>
        <v>25.2</v>
      </c>
      <c r="B76" s="19" t="s">
        <v>281</v>
      </c>
      <c r="C76" s="20" t="s">
        <v>24</v>
      </c>
      <c r="D76" s="25">
        <f>SUM(E76:AD76)</f>
        <v>25.2</v>
      </c>
      <c r="E76" s="25"/>
      <c r="F76" s="25"/>
      <c r="G76" s="25"/>
      <c r="H76" s="25"/>
      <c r="I76" s="25"/>
      <c r="J76" s="25"/>
      <c r="K76" s="25"/>
      <c r="L76" s="25"/>
      <c r="M76" s="25"/>
      <c r="N76" s="23"/>
      <c r="O76" s="23"/>
      <c r="P76" s="23"/>
      <c r="Q76" s="23"/>
      <c r="R76" s="23"/>
      <c r="S76" s="25"/>
      <c r="T76" s="25">
        <f>21*1.2</f>
        <v>25.2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ht="8.25">
      <c r="A77" s="18">
        <f>SUM(0+D77)</f>
        <v>23.54</v>
      </c>
      <c r="B77" s="19" t="s">
        <v>218</v>
      </c>
      <c r="C77" s="20" t="s">
        <v>7</v>
      </c>
      <c r="D77" s="25">
        <f>SUM(E77:AD77)</f>
        <v>23.54</v>
      </c>
      <c r="E77" s="25"/>
      <c r="F77" s="23"/>
      <c r="G77" s="23"/>
      <c r="H77" s="23"/>
      <c r="I77" s="23"/>
      <c r="J77" s="23">
        <f>11*1.1</f>
        <v>12.100000000000001</v>
      </c>
      <c r="K77" s="23"/>
      <c r="L77" s="23">
        <f>26*0.44</f>
        <v>11.44</v>
      </c>
      <c r="M77" s="23"/>
      <c r="N77" s="23"/>
      <c r="O77" s="23"/>
      <c r="P77" s="23"/>
      <c r="Q77" s="23"/>
      <c r="R77" s="23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8.25">
      <c r="A78" s="18">
        <f>SUM(0+D78)</f>
        <v>22.75</v>
      </c>
      <c r="B78" s="19" t="s">
        <v>291</v>
      </c>
      <c r="C78" s="20" t="s">
        <v>37</v>
      </c>
      <c r="D78" s="25">
        <f>SUM(E78:AD78)</f>
        <v>22.75</v>
      </c>
      <c r="E78" s="25"/>
      <c r="F78" s="25"/>
      <c r="G78" s="25"/>
      <c r="H78" s="25"/>
      <c r="I78" s="25"/>
      <c r="J78" s="25"/>
      <c r="K78" s="25"/>
      <c r="L78" s="25"/>
      <c r="M78" s="25"/>
      <c r="N78" s="23"/>
      <c r="O78" s="23"/>
      <c r="P78" s="23"/>
      <c r="Q78" s="23"/>
      <c r="R78" s="23"/>
      <c r="S78" s="25"/>
      <c r="T78" s="25"/>
      <c r="U78" s="25"/>
      <c r="V78" s="25"/>
      <c r="W78" s="25">
        <f>13*1.75</f>
        <v>22.75</v>
      </c>
      <c r="X78" s="25"/>
      <c r="Y78" s="25"/>
      <c r="Z78" s="25"/>
      <c r="AA78" s="25"/>
      <c r="AB78" s="25"/>
      <c r="AC78" s="25"/>
      <c r="AD78" s="25"/>
    </row>
    <row r="79" spans="1:30" ht="8.25">
      <c r="A79" s="18">
        <f>SUM(0+D79)</f>
        <v>22.08</v>
      </c>
      <c r="B79" s="19" t="s">
        <v>230</v>
      </c>
      <c r="C79" s="20" t="s">
        <v>21</v>
      </c>
      <c r="D79" s="25">
        <f>SUM(E79:AD79)</f>
        <v>22.08</v>
      </c>
      <c r="E79" s="25"/>
      <c r="F79" s="23"/>
      <c r="G79" s="25"/>
      <c r="H79" s="25"/>
      <c r="I79" s="23">
        <f>14*0.96</f>
        <v>13.44</v>
      </c>
      <c r="J79" s="23"/>
      <c r="K79" s="23"/>
      <c r="L79" s="23"/>
      <c r="M79" s="23"/>
      <c r="N79" s="23"/>
      <c r="O79" s="23"/>
      <c r="P79" s="23"/>
      <c r="Q79" s="23"/>
      <c r="R79" s="23"/>
      <c r="S79" s="25"/>
      <c r="T79" s="25"/>
      <c r="U79" s="25"/>
      <c r="V79" s="25"/>
      <c r="W79" s="25"/>
      <c r="X79" s="25"/>
      <c r="Y79" s="25">
        <f>8*1.08</f>
        <v>8.64</v>
      </c>
      <c r="Z79" s="25"/>
      <c r="AA79" s="25"/>
      <c r="AB79" s="25"/>
      <c r="AC79" s="25"/>
      <c r="AD79" s="25"/>
    </row>
    <row r="80" spans="1:30" ht="8.25">
      <c r="A80" s="18">
        <f>SUM(0+D80)</f>
        <v>19.8</v>
      </c>
      <c r="B80" s="19" t="s">
        <v>301</v>
      </c>
      <c r="C80" s="20" t="s">
        <v>302</v>
      </c>
      <c r="D80" s="25">
        <f>SUM(E80:AD80)</f>
        <v>19.8</v>
      </c>
      <c r="E80" s="25"/>
      <c r="F80" s="25"/>
      <c r="G80" s="25"/>
      <c r="H80" s="25"/>
      <c r="I80" s="25"/>
      <c r="J80" s="25"/>
      <c r="K80" s="25"/>
      <c r="L80" s="25"/>
      <c r="M80" s="25"/>
      <c r="N80" s="23"/>
      <c r="O80" s="23"/>
      <c r="P80" s="23"/>
      <c r="Q80" s="23">
        <f>33*0.6</f>
        <v>19.8</v>
      </c>
      <c r="R80" s="23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ht="8.25">
      <c r="A81" s="18">
        <f>SUM(0+D81)</f>
        <v>18.2</v>
      </c>
      <c r="B81" s="19" t="s">
        <v>245</v>
      </c>
      <c r="C81" s="20" t="s">
        <v>37</v>
      </c>
      <c r="D81" s="25">
        <f>SUM(E81:AD81)</f>
        <v>18.2</v>
      </c>
      <c r="E81" s="25"/>
      <c r="F81" s="25"/>
      <c r="G81" s="25"/>
      <c r="H81" s="25"/>
      <c r="I81" s="25"/>
      <c r="J81" s="23"/>
      <c r="K81" s="23">
        <f>28*0.65</f>
        <v>18.2</v>
      </c>
      <c r="L81" s="23"/>
      <c r="M81" s="23"/>
      <c r="N81" s="23"/>
      <c r="O81" s="23"/>
      <c r="P81" s="23"/>
      <c r="Q81" s="23"/>
      <c r="R81" s="23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8.25">
      <c r="A82" s="18">
        <f>SUM(0+D82)</f>
        <v>16.78</v>
      </c>
      <c r="B82" s="19" t="s">
        <v>209</v>
      </c>
      <c r="C82" s="20" t="s">
        <v>7</v>
      </c>
      <c r="D82" s="25">
        <f>SUM(E82:AD82)</f>
        <v>16.78</v>
      </c>
      <c r="E82" s="25"/>
      <c r="F82" s="23"/>
      <c r="G82" s="23">
        <f>7*1.14</f>
        <v>7.9799999999999995</v>
      </c>
      <c r="H82" s="23"/>
      <c r="I82" s="23"/>
      <c r="J82" s="23">
        <f>8*1.1</f>
        <v>8.8</v>
      </c>
      <c r="K82" s="23"/>
      <c r="L82" s="23"/>
      <c r="M82" s="25"/>
      <c r="N82" s="23"/>
      <c r="O82" s="23"/>
      <c r="P82" s="23"/>
      <c r="Q82" s="23"/>
      <c r="R82" s="23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ht="8.25">
      <c r="A83" s="18">
        <f>SUM(0+D83)</f>
        <v>15.959999999999999</v>
      </c>
      <c r="B83" s="19" t="s">
        <v>207</v>
      </c>
      <c r="C83" s="20" t="s">
        <v>7</v>
      </c>
      <c r="D83" s="25">
        <f>SUM(E83:AD83)</f>
        <v>15.959999999999999</v>
      </c>
      <c r="E83" s="23"/>
      <c r="F83" s="23"/>
      <c r="G83" s="23">
        <f>14*1.14</f>
        <v>15.959999999999999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ht="8.25">
      <c r="A84" s="18">
        <f>SUM(0+D84)</f>
        <v>15.200000000000001</v>
      </c>
      <c r="B84" s="19" t="s">
        <v>274</v>
      </c>
      <c r="C84" s="20" t="s">
        <v>17</v>
      </c>
      <c r="D84" s="25">
        <f>SUM(E84:AD84)</f>
        <v>15.200000000000001</v>
      </c>
      <c r="E84" s="25"/>
      <c r="F84" s="25"/>
      <c r="G84" s="25"/>
      <c r="H84" s="25"/>
      <c r="I84" s="25"/>
      <c r="J84" s="23"/>
      <c r="K84" s="23"/>
      <c r="L84" s="23"/>
      <c r="M84" s="23"/>
      <c r="N84" s="23"/>
      <c r="O84" s="23"/>
      <c r="P84" s="23"/>
      <c r="Q84" s="23"/>
      <c r="R84" s="23"/>
      <c r="S84" s="25">
        <f>76*0.2</f>
        <v>15.200000000000001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ht="8.25">
      <c r="A85" s="18">
        <f>SUM(0+D85)</f>
        <v>15.13</v>
      </c>
      <c r="B85" s="19" t="s">
        <v>265</v>
      </c>
      <c r="C85" s="20" t="s">
        <v>17</v>
      </c>
      <c r="D85" s="25">
        <f>SUM(E85:AD85)</f>
        <v>15.13</v>
      </c>
      <c r="E85" s="25"/>
      <c r="F85" s="25"/>
      <c r="G85" s="25"/>
      <c r="H85" s="25"/>
      <c r="I85" s="25"/>
      <c r="J85" s="25"/>
      <c r="K85" s="25"/>
      <c r="L85" s="25"/>
      <c r="M85" s="25"/>
      <c r="N85" s="23"/>
      <c r="O85" s="23">
        <f>17*0.89</f>
        <v>15.13</v>
      </c>
      <c r="P85" s="23"/>
      <c r="Q85" s="23"/>
      <c r="R85" s="23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ht="8.25">
      <c r="A86" s="26">
        <f>SUM(0+D86)</f>
        <v>14.74</v>
      </c>
      <c r="B86" s="19" t="s">
        <v>219</v>
      </c>
      <c r="C86" s="20" t="s">
        <v>37</v>
      </c>
      <c r="D86" s="25">
        <f>SUM(E86:AD86)</f>
        <v>14.74</v>
      </c>
      <c r="E86" s="23"/>
      <c r="F86" s="23"/>
      <c r="G86" s="23"/>
      <c r="H86" s="23"/>
      <c r="I86" s="23"/>
      <c r="J86" s="23">
        <f>9*1.1</f>
        <v>9.9</v>
      </c>
      <c r="K86" s="23"/>
      <c r="L86" s="23">
        <f>11*0.44</f>
        <v>4.84</v>
      </c>
      <c r="M86" s="25"/>
      <c r="N86" s="23"/>
      <c r="O86" s="23"/>
      <c r="P86" s="23"/>
      <c r="Q86" s="23"/>
      <c r="R86" s="23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ht="8.25">
      <c r="A87" s="18">
        <f>SUM(0+D87)</f>
        <v>14.48</v>
      </c>
      <c r="B87" s="19" t="s">
        <v>225</v>
      </c>
      <c r="C87" s="20" t="s">
        <v>17</v>
      </c>
      <c r="D87" s="25">
        <f>SUM(E87:AD87)</f>
        <v>14.48</v>
      </c>
      <c r="E87" s="23"/>
      <c r="F87" s="23"/>
      <c r="G87" s="23"/>
      <c r="H87" s="23">
        <f>8*0.27</f>
        <v>2.16</v>
      </c>
      <c r="I87" s="23"/>
      <c r="J87" s="23"/>
      <c r="K87" s="23"/>
      <c r="L87" s="23"/>
      <c r="M87" s="23"/>
      <c r="N87" s="23"/>
      <c r="O87" s="23"/>
      <c r="P87" s="23"/>
      <c r="Q87" s="23"/>
      <c r="R87" s="23">
        <f>56*0.22</f>
        <v>12.32</v>
      </c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8.25">
      <c r="A88" s="18">
        <f>SUM(0+D88)</f>
        <v>11.700000000000001</v>
      </c>
      <c r="B88" s="19" t="s">
        <v>51</v>
      </c>
      <c r="C88" s="20" t="s">
        <v>21</v>
      </c>
      <c r="D88" s="25">
        <f>SUM(E88:AD88)</f>
        <v>11.700000000000001</v>
      </c>
      <c r="E88" s="25"/>
      <c r="F88" s="25"/>
      <c r="G88" s="25"/>
      <c r="H88" s="25"/>
      <c r="I88" s="25"/>
      <c r="J88" s="23"/>
      <c r="K88" s="23">
        <f>18*0.65</f>
        <v>11.700000000000001</v>
      </c>
      <c r="L88" s="23"/>
      <c r="M88" s="23"/>
      <c r="N88" s="23"/>
      <c r="O88" s="23"/>
      <c r="P88" s="23"/>
      <c r="Q88" s="23"/>
      <c r="R88" s="23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8.25">
      <c r="A89" s="18">
        <f>SUM(0+D89)</f>
        <v>11.57</v>
      </c>
      <c r="B89" s="19" t="s">
        <v>16</v>
      </c>
      <c r="C89" s="20" t="s">
        <v>14</v>
      </c>
      <c r="D89" s="25">
        <f>SUM(E89:AD89)</f>
        <v>11.57</v>
      </c>
      <c r="E89" s="23"/>
      <c r="F89" s="23"/>
      <c r="G89" s="23"/>
      <c r="H89" s="23"/>
      <c r="I89" s="23"/>
      <c r="J89" s="23"/>
      <c r="K89" s="23">
        <f>8*0.65</f>
        <v>5.2</v>
      </c>
      <c r="L89" s="23"/>
      <c r="M89" s="23"/>
      <c r="N89" s="23"/>
      <c r="O89" s="23"/>
      <c r="P89" s="23"/>
      <c r="Q89" s="23"/>
      <c r="R89" s="23"/>
      <c r="S89" s="25"/>
      <c r="T89" s="25"/>
      <c r="U89" s="25"/>
      <c r="V89" s="25">
        <f>7*0.91</f>
        <v>6.37</v>
      </c>
      <c r="W89" s="25"/>
      <c r="X89" s="25"/>
      <c r="Y89" s="25"/>
      <c r="Z89" s="25"/>
      <c r="AA89" s="25"/>
      <c r="AB89" s="25"/>
      <c r="AC89" s="25"/>
      <c r="AD89" s="25"/>
    </row>
    <row r="90" spans="1:30" ht="8.25">
      <c r="A90" s="18">
        <f>SUM(0+D90)</f>
        <v>11.05</v>
      </c>
      <c r="B90" s="19" t="s">
        <v>246</v>
      </c>
      <c r="C90" s="20" t="s">
        <v>247</v>
      </c>
      <c r="D90" s="25">
        <f>SUM(E90:AD90)</f>
        <v>11.05</v>
      </c>
      <c r="E90" s="25"/>
      <c r="F90" s="25"/>
      <c r="G90" s="25"/>
      <c r="H90" s="25"/>
      <c r="I90" s="25"/>
      <c r="J90" s="25"/>
      <c r="K90" s="23">
        <f>17*0.65</f>
        <v>11.05</v>
      </c>
      <c r="L90" s="25"/>
      <c r="M90" s="25"/>
      <c r="N90" s="23"/>
      <c r="O90" s="23"/>
      <c r="P90" s="23"/>
      <c r="Q90" s="23"/>
      <c r="R90" s="23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8.25">
      <c r="A91" s="18">
        <f>SUM(0+D91)</f>
        <v>10.5</v>
      </c>
      <c r="B91" s="19" t="s">
        <v>259</v>
      </c>
      <c r="C91" s="20" t="s">
        <v>5</v>
      </c>
      <c r="D91" s="25">
        <f>SUM(E91:AD91)</f>
        <v>10.5</v>
      </c>
      <c r="E91" s="25"/>
      <c r="F91" s="25"/>
      <c r="G91" s="25"/>
      <c r="H91" s="25"/>
      <c r="I91" s="25"/>
      <c r="J91" s="25"/>
      <c r="K91" s="25"/>
      <c r="L91" s="25"/>
      <c r="M91" s="25"/>
      <c r="N91" s="23"/>
      <c r="O91" s="23"/>
      <c r="P91" s="23">
        <f>42*0.25</f>
        <v>10.5</v>
      </c>
      <c r="Q91" s="23"/>
      <c r="R91" s="23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8.25">
      <c r="A92" s="18">
        <f>SUM(0+D92)</f>
        <v>10.26</v>
      </c>
      <c r="B92" s="19" t="s">
        <v>208</v>
      </c>
      <c r="C92" s="20" t="s">
        <v>7</v>
      </c>
      <c r="D92" s="25">
        <f>SUM(E92:AD92)</f>
        <v>10.26</v>
      </c>
      <c r="E92" s="25"/>
      <c r="F92" s="23"/>
      <c r="G92" s="23">
        <f>9*1.14</f>
        <v>10.26</v>
      </c>
      <c r="H92" s="23"/>
      <c r="I92" s="23"/>
      <c r="J92" s="23"/>
      <c r="K92" s="23"/>
      <c r="L92" s="23"/>
      <c r="M92" s="25"/>
      <c r="N92" s="23"/>
      <c r="O92" s="23"/>
      <c r="P92" s="23"/>
      <c r="Q92" s="23"/>
      <c r="R92" s="23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8.25">
      <c r="A93" s="18">
        <f>SUM(0+D93)</f>
        <v>9.25</v>
      </c>
      <c r="B93" s="19" t="s">
        <v>297</v>
      </c>
      <c r="C93" s="20" t="s">
        <v>5</v>
      </c>
      <c r="D93" s="25">
        <f>SUM(E93:AD93)</f>
        <v>9.25</v>
      </c>
      <c r="E93" s="25"/>
      <c r="F93" s="25"/>
      <c r="G93" s="25"/>
      <c r="H93" s="25"/>
      <c r="I93" s="25"/>
      <c r="J93" s="25"/>
      <c r="K93" s="25"/>
      <c r="L93" s="25"/>
      <c r="M93" s="25"/>
      <c r="N93" s="23"/>
      <c r="O93" s="23"/>
      <c r="P93" s="23">
        <f>37*0.25</f>
        <v>9.25</v>
      </c>
      <c r="Q93" s="23"/>
      <c r="R93" s="23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8.25">
      <c r="A94" s="18">
        <f>SUM(0+D94)</f>
        <v>8.64</v>
      </c>
      <c r="B94" s="19" t="s">
        <v>231</v>
      </c>
      <c r="C94" s="20" t="s">
        <v>17</v>
      </c>
      <c r="D94" s="25">
        <f>SUM(E94:AD94)</f>
        <v>8.64</v>
      </c>
      <c r="E94" s="23"/>
      <c r="F94" s="23"/>
      <c r="G94" s="23"/>
      <c r="H94" s="23"/>
      <c r="I94" s="23">
        <f>9*0.96</f>
        <v>8.64</v>
      </c>
      <c r="J94" s="25"/>
      <c r="K94" s="23"/>
      <c r="L94" s="23"/>
      <c r="M94" s="25"/>
      <c r="N94" s="23"/>
      <c r="O94" s="23"/>
      <c r="P94" s="23"/>
      <c r="Q94" s="23"/>
      <c r="R94" s="23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8.25">
      <c r="A95" s="18">
        <f>SUM(0+D95)</f>
        <v>8.64</v>
      </c>
      <c r="B95" s="19" t="s">
        <v>103</v>
      </c>
      <c r="C95" s="20" t="s">
        <v>14</v>
      </c>
      <c r="D95" s="25">
        <f>SUM(E95:AD95)</f>
        <v>8.64</v>
      </c>
      <c r="E95" s="25"/>
      <c r="F95" s="25"/>
      <c r="G95" s="25"/>
      <c r="H95" s="25"/>
      <c r="I95" s="25"/>
      <c r="J95" s="25"/>
      <c r="K95" s="25"/>
      <c r="L95" s="25"/>
      <c r="M95" s="25"/>
      <c r="N95" s="23"/>
      <c r="O95" s="23"/>
      <c r="P95" s="23"/>
      <c r="Q95" s="23"/>
      <c r="R95" s="23"/>
      <c r="S95" s="25"/>
      <c r="T95" s="25"/>
      <c r="U95" s="25"/>
      <c r="V95" s="25"/>
      <c r="W95" s="25"/>
      <c r="X95" s="25"/>
      <c r="Y95" s="25">
        <f>8*1.08</f>
        <v>8.64</v>
      </c>
      <c r="Z95" s="25"/>
      <c r="AA95" s="25"/>
      <c r="AB95" s="25"/>
      <c r="AC95" s="25"/>
      <c r="AD95" s="25"/>
    </row>
    <row r="96" spans="1:30" ht="8.25">
      <c r="A96" s="18">
        <f>SUM(0+D96)</f>
        <v>8.6</v>
      </c>
      <c r="B96" s="19" t="s">
        <v>275</v>
      </c>
      <c r="C96" s="20" t="s">
        <v>17</v>
      </c>
      <c r="D96" s="25">
        <f>SUM(E96:AD96)</f>
        <v>8.6</v>
      </c>
      <c r="E96" s="25"/>
      <c r="F96" s="25"/>
      <c r="G96" s="25"/>
      <c r="H96" s="25"/>
      <c r="I96" s="25"/>
      <c r="J96" s="23"/>
      <c r="K96" s="23"/>
      <c r="L96" s="23"/>
      <c r="M96" s="23"/>
      <c r="N96" s="23"/>
      <c r="O96" s="23"/>
      <c r="P96" s="23"/>
      <c r="Q96" s="23"/>
      <c r="R96" s="23"/>
      <c r="S96" s="25">
        <f>43*0.2</f>
        <v>8.6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8.25">
      <c r="A97" s="18">
        <f>SUM(0+D97)</f>
        <v>6.23</v>
      </c>
      <c r="B97" s="19" t="s">
        <v>266</v>
      </c>
      <c r="C97" s="20" t="s">
        <v>17</v>
      </c>
      <c r="D97" s="25">
        <f>SUM(E97:AD97)</f>
        <v>6.23</v>
      </c>
      <c r="E97" s="25"/>
      <c r="F97" s="25"/>
      <c r="G97" s="25"/>
      <c r="H97" s="25"/>
      <c r="I97" s="25"/>
      <c r="J97" s="25"/>
      <c r="K97" s="25"/>
      <c r="L97" s="25"/>
      <c r="M97" s="25"/>
      <c r="N97" s="23"/>
      <c r="O97" s="23">
        <f>7*0.89</f>
        <v>6.23</v>
      </c>
      <c r="P97" s="23"/>
      <c r="Q97" s="23"/>
      <c r="R97" s="23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8.25">
      <c r="A98" s="18">
        <f>SUM(0+D98)</f>
        <v>5.8500000000000005</v>
      </c>
      <c r="B98" s="19" t="s">
        <v>248</v>
      </c>
      <c r="C98" s="20" t="s">
        <v>247</v>
      </c>
      <c r="D98" s="25">
        <f>SUM(E98:AD98)</f>
        <v>5.8500000000000005</v>
      </c>
      <c r="E98" s="25"/>
      <c r="F98" s="25"/>
      <c r="G98" s="25"/>
      <c r="H98" s="25"/>
      <c r="I98" s="25"/>
      <c r="J98" s="25"/>
      <c r="K98" s="23">
        <f>9*0.65</f>
        <v>5.8500000000000005</v>
      </c>
      <c r="L98" s="25"/>
      <c r="M98" s="25"/>
      <c r="N98" s="23"/>
      <c r="O98" s="23"/>
      <c r="P98" s="23"/>
      <c r="Q98" s="23"/>
      <c r="R98" s="23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8.25">
      <c r="A99" s="18">
        <f>SUM(0+D99)</f>
        <v>5.72</v>
      </c>
      <c r="B99" s="19" t="s">
        <v>270</v>
      </c>
      <c r="C99" s="20" t="s">
        <v>17</v>
      </c>
      <c r="D99" s="25">
        <f>SUM(E99:AD99)</f>
        <v>5.72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>
        <f>26*0.22</f>
        <v>5.72</v>
      </c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8.25">
      <c r="A100" s="18">
        <f>SUM(0+D100)</f>
        <v>5.3999999999999995</v>
      </c>
      <c r="B100" s="19" t="s">
        <v>303</v>
      </c>
      <c r="C100" s="20" t="s">
        <v>35</v>
      </c>
      <c r="D100" s="25">
        <f>SUM(E100:AD100)</f>
        <v>5.3999999999999995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3"/>
      <c r="O100" s="23"/>
      <c r="P100" s="23"/>
      <c r="Q100" s="23">
        <f>9*0.6</f>
        <v>5.3999999999999995</v>
      </c>
      <c r="R100" s="23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8.25">
      <c r="A101" s="18">
        <f>SUM(0+D101)</f>
        <v>4.16</v>
      </c>
      <c r="B101" s="19" t="s">
        <v>239</v>
      </c>
      <c r="C101" s="20" t="s">
        <v>5</v>
      </c>
      <c r="D101" s="25">
        <f>SUM(E101:AD101)</f>
        <v>4.16</v>
      </c>
      <c r="E101" s="23"/>
      <c r="F101" s="23">
        <f>26*0.16</f>
        <v>4.16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8.25">
      <c r="A102" s="18">
        <f>SUM(0+D102)</f>
        <v>0</v>
      </c>
      <c r="B102" s="19"/>
      <c r="C102" s="20"/>
      <c r="D102" s="25">
        <f>SUM(E102:AD102)</f>
        <v>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3"/>
      <c r="O102" s="23"/>
      <c r="P102" s="23"/>
      <c r="Q102" s="23"/>
      <c r="R102" s="23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8.25">
      <c r="A103" s="18">
        <f>SUM(0+D103)</f>
        <v>0</v>
      </c>
      <c r="B103" s="19"/>
      <c r="C103" s="20"/>
      <c r="D103" s="25">
        <f>SUM(E103:AD103)</f>
        <v>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3"/>
      <c r="O103" s="23"/>
      <c r="P103" s="23"/>
      <c r="Q103" s="23"/>
      <c r="R103" s="23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8.25">
      <c r="A104" s="18">
        <f>SUM(0+D104)</f>
        <v>0</v>
      </c>
      <c r="B104" s="19"/>
      <c r="C104" s="20"/>
      <c r="D104" s="25">
        <f>SUM(E104:AD104)</f>
        <v>0</v>
      </c>
      <c r="E104" s="23"/>
      <c r="F104" s="23"/>
      <c r="G104" s="23"/>
      <c r="H104" s="23"/>
      <c r="I104" s="23"/>
      <c r="J104" s="25"/>
      <c r="K104" s="25"/>
      <c r="L104" s="25"/>
      <c r="M104" s="25"/>
      <c r="N104" s="25"/>
      <c r="O104" s="25"/>
      <c r="P104" s="25"/>
      <c r="Q104" s="25"/>
      <c r="R104" s="23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5:30" ht="8.25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5:30" ht="8.25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5:30" ht="8.25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5:30" ht="8.25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5:30" ht="8.25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5:30" ht="8.25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5:30" ht="8.25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5:30" ht="8.25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5:30" ht="8.25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5:30" ht="8.25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5:30" ht="8.25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5:30" ht="8.25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5:30" ht="8.25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5:30" ht="8.25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5:30" ht="8.25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5:30" ht="8.25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5:30" ht="8.25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5:30" ht="8.25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5:30" ht="8.25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5:30" ht="8.25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5:30" ht="8.25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5:30" ht="8.25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5:30" ht="8.25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5:30" ht="8.25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5:30" ht="8.25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5:30" ht="8.25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5:30" ht="8.25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5:30" ht="8.25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5:30" ht="8.25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5:30" ht="8.25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5:30" ht="8.25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5:30" ht="8.25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5:30" ht="8.25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5:30" ht="8.25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5:30" ht="8.25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5:30" ht="8.25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5:18" ht="8.25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5:18" ht="8.25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5:18" ht="8.25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5:18" ht="8.25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5:18" ht="8.25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5:18" ht="8.25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5:18" ht="8.25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5:18" ht="8.25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5:18" ht="8.25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5:18" ht="8.25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5:18" ht="8.25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5:18" ht="8.25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5:18" ht="8.25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5:18" ht="8.25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5:18" ht="8.25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</sheetData>
  <sheetProtection/>
  <autoFilter ref="A4:AD104"/>
  <printOptions/>
  <pageMargins left="0" right="0.1968503937007874" top="0.6692913385826772" bottom="0.1968503937007874" header="0" footer="0.11811023622047245"/>
  <pageSetup horizontalDpi="300" verticalDpi="300" orientation="landscape" paperSize="9" r:id="rId1"/>
  <headerFooter alignWithMargins="0">
    <oddHeader>&amp;CRANKING NACIONAL DAS RAÇAS PÔNEI
MELHOR EXPOSITOR - 2007
RAÇA PÔNEI BRASILEIRO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00390625" style="30" customWidth="1"/>
    <col min="2" max="2" width="18.7109375" style="31" customWidth="1"/>
    <col min="3" max="3" width="3.421875" style="32" customWidth="1"/>
    <col min="4" max="4" width="4.421875" style="31" customWidth="1"/>
    <col min="5" max="5" width="5.7109375" style="31" customWidth="1"/>
    <col min="6" max="6" width="6.140625" style="31" customWidth="1"/>
    <col min="7" max="7" width="6.00390625" style="31" customWidth="1"/>
    <col min="8" max="8" width="5.140625" style="31" customWidth="1"/>
    <col min="9" max="10" width="6.00390625" style="31" customWidth="1"/>
    <col min="11" max="11" width="6.140625" style="31" customWidth="1"/>
    <col min="12" max="12" width="5.8515625" style="31" customWidth="1"/>
    <col min="13" max="13" width="6.00390625" style="31" customWidth="1"/>
    <col min="14" max="14" width="6.421875" style="31" customWidth="1"/>
    <col min="15" max="15" width="5.7109375" style="31" customWidth="1"/>
    <col min="16" max="16" width="6.7109375" style="31" customWidth="1"/>
    <col min="17" max="17" width="6.140625" style="31" customWidth="1"/>
    <col min="18" max="18" width="5.8515625" style="31" customWidth="1"/>
    <col min="19" max="21" width="6.140625" style="31" customWidth="1"/>
    <col min="22" max="22" width="7.57421875" style="33" customWidth="1"/>
    <col min="23" max="16384" width="9.140625" style="31" customWidth="1"/>
  </cols>
  <sheetData>
    <row r="1" spans="1:22" s="5" customFormat="1" ht="8.25">
      <c r="A1" s="1">
        <v>9999</v>
      </c>
      <c r="B1" s="51"/>
      <c r="C1" s="2" t="s">
        <v>4</v>
      </c>
      <c r="D1" s="3" t="s">
        <v>1</v>
      </c>
      <c r="E1" s="3" t="s">
        <v>53</v>
      </c>
      <c r="F1" s="3" t="s">
        <v>50</v>
      </c>
      <c r="G1" s="3" t="s">
        <v>46</v>
      </c>
      <c r="H1" s="3" t="s">
        <v>65</v>
      </c>
      <c r="I1" s="3" t="s">
        <v>45</v>
      </c>
      <c r="J1" s="3" t="s">
        <v>0</v>
      </c>
      <c r="K1" s="3" t="s">
        <v>44</v>
      </c>
      <c r="L1" s="3" t="s">
        <v>101</v>
      </c>
      <c r="M1" s="3" t="s">
        <v>43</v>
      </c>
      <c r="N1" s="3" t="s">
        <v>111</v>
      </c>
      <c r="O1" s="3" t="s">
        <v>114</v>
      </c>
      <c r="P1" s="3" t="s">
        <v>117</v>
      </c>
      <c r="Q1" s="3" t="s">
        <v>47</v>
      </c>
      <c r="R1" s="3" t="s">
        <v>125</v>
      </c>
      <c r="S1" s="3" t="s">
        <v>48</v>
      </c>
      <c r="T1" s="3" t="s">
        <v>129</v>
      </c>
      <c r="U1" s="3" t="s">
        <v>131</v>
      </c>
      <c r="V1" s="4" t="s">
        <v>135</v>
      </c>
    </row>
    <row r="2" spans="1:22" s="5" customFormat="1" ht="8.25">
      <c r="A2" s="1">
        <v>9998</v>
      </c>
      <c r="B2" s="52" t="s">
        <v>32</v>
      </c>
      <c r="C2" s="6"/>
      <c r="D2" s="7"/>
      <c r="E2" s="7" t="s">
        <v>54</v>
      </c>
      <c r="F2" s="8" t="s">
        <v>62</v>
      </c>
      <c r="G2" s="8" t="s">
        <v>68</v>
      </c>
      <c r="H2" s="8" t="s">
        <v>66</v>
      </c>
      <c r="I2" s="8" t="s">
        <v>107</v>
      </c>
      <c r="J2" s="8" t="s">
        <v>75</v>
      </c>
      <c r="K2" s="8" t="s">
        <v>98</v>
      </c>
      <c r="L2" s="8" t="s">
        <v>102</v>
      </c>
      <c r="M2" s="8" t="s">
        <v>105</v>
      </c>
      <c r="N2" s="8" t="s">
        <v>112</v>
      </c>
      <c r="O2" s="7" t="s">
        <v>116</v>
      </c>
      <c r="P2" s="7" t="s">
        <v>118</v>
      </c>
      <c r="Q2" s="8" t="s">
        <v>120</v>
      </c>
      <c r="R2" s="8" t="s">
        <v>124</v>
      </c>
      <c r="S2" s="8" t="s">
        <v>126</v>
      </c>
      <c r="T2" s="8" t="s">
        <v>130</v>
      </c>
      <c r="U2" s="8" t="s">
        <v>132</v>
      </c>
      <c r="V2" s="9" t="s">
        <v>137</v>
      </c>
    </row>
    <row r="3" spans="1:22" s="13" customFormat="1" ht="8.25">
      <c r="A3" s="1">
        <v>9997</v>
      </c>
      <c r="B3" s="53"/>
      <c r="C3" s="10"/>
      <c r="D3" s="11"/>
      <c r="E3" s="11" t="s">
        <v>52</v>
      </c>
      <c r="F3" s="11" t="s">
        <v>63</v>
      </c>
      <c r="G3" s="11" t="s">
        <v>69</v>
      </c>
      <c r="H3" s="11" t="s">
        <v>64</v>
      </c>
      <c r="I3" s="11" t="s">
        <v>108</v>
      </c>
      <c r="J3" s="11" t="s">
        <v>76</v>
      </c>
      <c r="K3" s="11" t="s">
        <v>22</v>
      </c>
      <c r="L3" s="11" t="s">
        <v>100</v>
      </c>
      <c r="M3" s="11" t="s">
        <v>104</v>
      </c>
      <c r="N3" s="11" t="s">
        <v>69</v>
      </c>
      <c r="O3" s="11" t="s">
        <v>115</v>
      </c>
      <c r="P3" s="11" t="s">
        <v>119</v>
      </c>
      <c r="Q3" s="40" t="s">
        <v>121</v>
      </c>
      <c r="R3" s="40" t="s">
        <v>123</v>
      </c>
      <c r="S3" s="40" t="s">
        <v>127</v>
      </c>
      <c r="T3" s="11" t="s">
        <v>128</v>
      </c>
      <c r="U3" s="11" t="s">
        <v>133</v>
      </c>
      <c r="V3" s="12" t="s">
        <v>136</v>
      </c>
    </row>
    <row r="4" spans="1:22" s="5" customFormat="1" ht="8.25">
      <c r="A4" s="1">
        <v>9996</v>
      </c>
      <c r="B4" s="41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2" s="24" customFormat="1" ht="8.25">
      <c r="A5" s="18">
        <f>SUM(0+D5)</f>
        <v>1583.8</v>
      </c>
      <c r="B5" s="19" t="s">
        <v>18</v>
      </c>
      <c r="C5" s="20" t="s">
        <v>14</v>
      </c>
      <c r="D5" s="21">
        <v>1583.8</v>
      </c>
      <c r="E5" s="19">
        <v>10.78</v>
      </c>
      <c r="F5" s="25"/>
      <c r="G5" s="25">
        <f>198.24+19.82</f>
        <v>218.06</v>
      </c>
      <c r="H5" s="25"/>
      <c r="I5" s="25">
        <v>8.97</v>
      </c>
      <c r="J5" s="25">
        <f>613.72+61.37</f>
        <v>675.09</v>
      </c>
      <c r="K5" s="25">
        <v>6.29</v>
      </c>
      <c r="L5" s="25">
        <f>234.52+23.45</f>
        <v>257.97</v>
      </c>
      <c r="M5" s="25"/>
      <c r="N5" s="25">
        <v>260.4</v>
      </c>
      <c r="O5" s="25">
        <v>19.6</v>
      </c>
      <c r="P5" s="25"/>
      <c r="Q5" s="25"/>
      <c r="R5" s="25">
        <v>172.28</v>
      </c>
      <c r="S5" s="25"/>
      <c r="T5" s="25">
        <v>8.74</v>
      </c>
      <c r="U5" s="25">
        <v>6.11</v>
      </c>
      <c r="V5" s="25"/>
    </row>
    <row r="6" spans="1:22" s="24" customFormat="1" ht="8.25" customHeight="1">
      <c r="A6" s="18">
        <f>SUM(0+D6)</f>
        <v>1450.27</v>
      </c>
      <c r="B6" s="19" t="s">
        <v>3</v>
      </c>
      <c r="C6" s="20" t="s">
        <v>7</v>
      </c>
      <c r="D6" s="21">
        <v>1450.27</v>
      </c>
      <c r="E6" s="22">
        <v>187.18</v>
      </c>
      <c r="F6" s="23">
        <v>5.2</v>
      </c>
      <c r="G6" s="23">
        <f>189+18.9</f>
        <v>207.9</v>
      </c>
      <c r="H6" s="23"/>
      <c r="I6" s="23"/>
      <c r="J6" s="23">
        <f>572.5+57.25</f>
        <v>629.75</v>
      </c>
      <c r="K6" s="23">
        <v>27.38</v>
      </c>
      <c r="L6" s="23"/>
      <c r="M6" s="23"/>
      <c r="N6" s="23">
        <f>207.48+20.74</f>
        <v>228.22</v>
      </c>
      <c r="O6" s="23">
        <v>16.1</v>
      </c>
      <c r="P6" s="23"/>
      <c r="Q6" s="23">
        <v>58.05</v>
      </c>
      <c r="R6" s="23">
        <f>174.64+17.46</f>
        <v>192.1</v>
      </c>
      <c r="S6" s="23"/>
      <c r="T6" s="23"/>
      <c r="U6" s="23"/>
      <c r="V6" s="23">
        <v>197.22</v>
      </c>
    </row>
    <row r="7" spans="1:22" s="24" customFormat="1" ht="8.25">
      <c r="A7" s="18">
        <f aca="true" t="shared" si="0" ref="A7:A35">SUM(0+D7)</f>
        <v>953.23</v>
      </c>
      <c r="B7" s="19" t="s">
        <v>10</v>
      </c>
      <c r="C7" s="20" t="s">
        <v>7</v>
      </c>
      <c r="D7" s="21">
        <v>953.23</v>
      </c>
      <c r="E7" s="22">
        <v>138.18</v>
      </c>
      <c r="F7" s="23"/>
      <c r="G7" s="23">
        <f>147.84+14.78</f>
        <v>162.62</v>
      </c>
      <c r="H7" s="23"/>
      <c r="I7" s="23"/>
      <c r="J7" s="23">
        <f>338.92+33.89</f>
        <v>372.81</v>
      </c>
      <c r="K7" s="23">
        <v>140.97</v>
      </c>
      <c r="L7" s="23">
        <v>148.42</v>
      </c>
      <c r="M7" s="23"/>
      <c r="N7" s="23">
        <f>119.28+11.92</f>
        <v>131.2</v>
      </c>
      <c r="O7" s="23">
        <v>56.7</v>
      </c>
      <c r="P7" s="23"/>
      <c r="Q7" s="23"/>
      <c r="R7" s="23">
        <f>107.97+10.79</f>
        <v>118.75999999999999</v>
      </c>
      <c r="S7" s="23"/>
      <c r="T7" s="23"/>
      <c r="U7" s="23"/>
      <c r="V7" s="23">
        <v>10.83</v>
      </c>
    </row>
    <row r="8" spans="1:22" s="24" customFormat="1" ht="8.25">
      <c r="A8" s="18">
        <f>SUM(0+D8)</f>
        <v>537.06</v>
      </c>
      <c r="B8" s="19" t="s">
        <v>19</v>
      </c>
      <c r="C8" s="20" t="s">
        <v>14</v>
      </c>
      <c r="D8" s="21">
        <v>537.06</v>
      </c>
      <c r="E8" s="22">
        <v>8.82</v>
      </c>
      <c r="F8" s="23">
        <v>20.15</v>
      </c>
      <c r="G8" s="23">
        <v>141.96</v>
      </c>
      <c r="H8" s="23"/>
      <c r="I8" s="23"/>
      <c r="J8" s="23">
        <f>137.4+13.74</f>
        <v>151.14000000000001</v>
      </c>
      <c r="K8" s="23"/>
      <c r="L8" s="23">
        <f>128.74+12.87</f>
        <v>141.61</v>
      </c>
      <c r="M8" s="23"/>
      <c r="N8" s="23">
        <f>37.8+3.78</f>
        <v>41.58</v>
      </c>
      <c r="O8" s="23">
        <v>30.1</v>
      </c>
      <c r="P8" s="23"/>
      <c r="Q8" s="23"/>
      <c r="R8" s="23">
        <v>60.77</v>
      </c>
      <c r="S8" s="23"/>
      <c r="T8" s="23"/>
      <c r="U8" s="23"/>
      <c r="V8" s="23"/>
    </row>
    <row r="9" spans="1:22" s="24" customFormat="1" ht="8.25">
      <c r="A9" s="18">
        <f t="shared" si="0"/>
        <v>456.87</v>
      </c>
      <c r="B9" s="19" t="s">
        <v>8</v>
      </c>
      <c r="C9" s="20" t="s">
        <v>7</v>
      </c>
      <c r="D9" s="21">
        <v>456.87</v>
      </c>
      <c r="E9" s="22"/>
      <c r="F9" s="23"/>
      <c r="G9" s="23">
        <v>33.6</v>
      </c>
      <c r="H9" s="23"/>
      <c r="I9" s="23"/>
      <c r="J9" s="23">
        <f>137.4+13.74</f>
        <v>151.14000000000001</v>
      </c>
      <c r="K9" s="23"/>
      <c r="L9" s="23">
        <v>138.58</v>
      </c>
      <c r="M9" s="23"/>
      <c r="N9" s="23">
        <f>79.8+7.98</f>
        <v>87.78</v>
      </c>
      <c r="O9" s="23"/>
      <c r="P9" s="23"/>
      <c r="Q9" s="23">
        <f>33.54+3.35</f>
        <v>36.89</v>
      </c>
      <c r="R9" s="23">
        <v>42.48</v>
      </c>
      <c r="S9" s="23"/>
      <c r="T9" s="23"/>
      <c r="U9" s="23"/>
      <c r="V9" s="23"/>
    </row>
    <row r="10" spans="1:22" s="24" customFormat="1" ht="8.25">
      <c r="A10" s="18"/>
      <c r="B10" s="41" t="s">
        <v>33</v>
      </c>
      <c r="C10" s="15"/>
      <c r="D10" s="37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50"/>
    </row>
    <row r="11" spans="1:22" s="24" customFormat="1" ht="8.25">
      <c r="A11" s="18">
        <f t="shared" si="0"/>
        <v>375.89</v>
      </c>
      <c r="B11" s="19" t="s">
        <v>77</v>
      </c>
      <c r="C11" s="20" t="s">
        <v>14</v>
      </c>
      <c r="D11" s="21">
        <v>375.89</v>
      </c>
      <c r="E11" s="19"/>
      <c r="F11" s="25"/>
      <c r="G11" s="25"/>
      <c r="H11" s="25"/>
      <c r="I11" s="25"/>
      <c r="J11" s="25">
        <f>217.55+21.75</f>
        <v>239.3</v>
      </c>
      <c r="K11" s="25"/>
      <c r="L11" s="25">
        <f>110.7+11.07</f>
        <v>121.77000000000001</v>
      </c>
      <c r="M11" s="25"/>
      <c r="N11" s="25"/>
      <c r="O11" s="25"/>
      <c r="P11" s="25"/>
      <c r="Q11" s="25"/>
      <c r="R11" s="25"/>
      <c r="S11" s="25"/>
      <c r="T11" s="25"/>
      <c r="U11" s="25"/>
      <c r="V11" s="25">
        <v>14.82</v>
      </c>
    </row>
    <row r="12" spans="1:22" s="24" customFormat="1" ht="8.25">
      <c r="A12" s="18">
        <f t="shared" si="0"/>
        <v>339.85</v>
      </c>
      <c r="B12" s="19" t="s">
        <v>71</v>
      </c>
      <c r="C12" s="20" t="s">
        <v>7</v>
      </c>
      <c r="D12" s="21">
        <v>339.85</v>
      </c>
      <c r="E12" s="22"/>
      <c r="F12" s="23"/>
      <c r="G12" s="23">
        <f>9.24+0.92</f>
        <v>10.16</v>
      </c>
      <c r="H12" s="23"/>
      <c r="I12" s="23">
        <v>6.9</v>
      </c>
      <c r="J12" s="23">
        <f>70.99+7.09</f>
        <v>78.08</v>
      </c>
      <c r="K12" s="23"/>
      <c r="L12" s="23"/>
      <c r="M12" s="23"/>
      <c r="N12" s="23">
        <f>80.64+8.06</f>
        <v>88.7</v>
      </c>
      <c r="O12" s="23">
        <v>57.4</v>
      </c>
      <c r="P12" s="23"/>
      <c r="Q12" s="23">
        <f>45.58+4.55</f>
        <v>50.129999999999995</v>
      </c>
      <c r="R12" s="23">
        <f>59.59+5.95</f>
        <v>65.54</v>
      </c>
      <c r="S12" s="23"/>
      <c r="T12" s="23"/>
      <c r="U12" s="23"/>
      <c r="V12" s="23"/>
    </row>
    <row r="13" spans="1:22" s="24" customFormat="1" ht="8.25">
      <c r="A13" s="18">
        <f>SUM(0+D13)</f>
        <v>279.82</v>
      </c>
      <c r="B13" s="19" t="s">
        <v>56</v>
      </c>
      <c r="C13" s="20" t="s">
        <v>14</v>
      </c>
      <c r="D13" s="21">
        <f aca="true" t="shared" si="1" ref="D13:D37">SUM(E13:V13)</f>
        <v>279.82</v>
      </c>
      <c r="E13" s="22">
        <v>67.62</v>
      </c>
      <c r="F13" s="23">
        <v>78.4</v>
      </c>
      <c r="G13" s="23"/>
      <c r="H13" s="23">
        <v>30.16</v>
      </c>
      <c r="I13" s="23"/>
      <c r="J13" s="23">
        <v>59.54</v>
      </c>
      <c r="K13" s="23"/>
      <c r="L13" s="23"/>
      <c r="M13" s="23"/>
      <c r="N13" s="23"/>
      <c r="O13" s="23">
        <v>44.1</v>
      </c>
      <c r="P13" s="23"/>
      <c r="Q13" s="23"/>
      <c r="R13" s="23"/>
      <c r="S13" s="23"/>
      <c r="T13" s="23"/>
      <c r="U13" s="23"/>
      <c r="V13" s="23"/>
    </row>
    <row r="14" spans="1:22" s="24" customFormat="1" ht="8.25">
      <c r="A14" s="18">
        <f t="shared" si="0"/>
        <v>150.42</v>
      </c>
      <c r="B14" s="19" t="s">
        <v>41</v>
      </c>
      <c r="C14" s="20" t="s">
        <v>14</v>
      </c>
      <c r="D14" s="21">
        <f t="shared" si="1"/>
        <v>150.42</v>
      </c>
      <c r="E14" s="19"/>
      <c r="F14" s="25"/>
      <c r="G14" s="25"/>
      <c r="H14" s="25"/>
      <c r="I14" s="25"/>
      <c r="J14" s="25">
        <v>36.64</v>
      </c>
      <c r="K14" s="25"/>
      <c r="L14" s="25">
        <v>87.74</v>
      </c>
      <c r="M14" s="25"/>
      <c r="N14" s="25">
        <v>26.04</v>
      </c>
      <c r="O14" s="25"/>
      <c r="P14" s="25"/>
      <c r="Q14" s="25"/>
      <c r="R14" s="25"/>
      <c r="S14" s="25"/>
      <c r="T14" s="25"/>
      <c r="U14" s="25"/>
      <c r="V14" s="25"/>
    </row>
    <row r="15" spans="1:22" s="24" customFormat="1" ht="8.25">
      <c r="A15" s="26">
        <f>SUM(0+D15)</f>
        <v>121.09</v>
      </c>
      <c r="B15" s="19" t="s">
        <v>15</v>
      </c>
      <c r="C15" s="20" t="s">
        <v>7</v>
      </c>
      <c r="D15" s="21">
        <f t="shared" si="1"/>
        <v>121.09</v>
      </c>
      <c r="E15" s="22"/>
      <c r="F15" s="23"/>
      <c r="G15" s="23">
        <v>28.56</v>
      </c>
      <c r="H15" s="23">
        <v>23.14</v>
      </c>
      <c r="I15" s="23"/>
      <c r="J15" s="23">
        <v>27.48</v>
      </c>
      <c r="K15" s="23">
        <v>22.57</v>
      </c>
      <c r="L15" s="23"/>
      <c r="M15" s="23"/>
      <c r="N15" s="23">
        <f>13.44+1.34</f>
        <v>14.78</v>
      </c>
      <c r="O15" s="23"/>
      <c r="P15" s="23"/>
      <c r="Q15" s="23"/>
      <c r="R15" s="23"/>
      <c r="S15" s="23"/>
      <c r="T15" s="23"/>
      <c r="U15" s="23"/>
      <c r="V15" s="23">
        <v>4.56</v>
      </c>
    </row>
    <row r="16" spans="1:22" s="24" customFormat="1" ht="8.25">
      <c r="A16" s="26"/>
      <c r="B16" s="41" t="s">
        <v>34</v>
      </c>
      <c r="C16" s="15"/>
      <c r="D16" s="37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50"/>
    </row>
    <row r="17" spans="1:22" s="24" customFormat="1" ht="8.25">
      <c r="A17" s="18">
        <f>SUM(0+D17)</f>
        <v>108.83</v>
      </c>
      <c r="B17" s="19" t="s">
        <v>38</v>
      </c>
      <c r="C17" s="20" t="s">
        <v>37</v>
      </c>
      <c r="D17" s="21">
        <f t="shared" si="1"/>
        <v>108.83</v>
      </c>
      <c r="E17" s="22"/>
      <c r="F17" s="23"/>
      <c r="G17" s="23">
        <v>47.04</v>
      </c>
      <c r="H17" s="23"/>
      <c r="I17" s="23"/>
      <c r="J17" s="23"/>
      <c r="K17" s="23">
        <v>61.79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8.25">
      <c r="A18" s="18">
        <f t="shared" si="0"/>
        <v>104.69</v>
      </c>
      <c r="B18" s="19" t="s">
        <v>16</v>
      </c>
      <c r="C18" s="20" t="s">
        <v>14</v>
      </c>
      <c r="D18" s="21">
        <f t="shared" si="1"/>
        <v>104.69</v>
      </c>
      <c r="E18" s="22">
        <v>32.34</v>
      </c>
      <c r="F18" s="23">
        <v>7.15</v>
      </c>
      <c r="G18" s="23"/>
      <c r="H18" s="23">
        <v>12.48</v>
      </c>
      <c r="I18" s="23"/>
      <c r="J18" s="23"/>
      <c r="K18" s="23"/>
      <c r="L18" s="23">
        <v>25.42</v>
      </c>
      <c r="M18" s="23"/>
      <c r="N18" s="23"/>
      <c r="O18" s="23">
        <v>27.3</v>
      </c>
      <c r="P18" s="23"/>
      <c r="Q18" s="23"/>
      <c r="R18" s="23"/>
      <c r="S18" s="23"/>
      <c r="T18" s="23"/>
      <c r="U18" s="23"/>
      <c r="V18" s="23"/>
    </row>
    <row r="19" spans="1:22" s="24" customFormat="1" ht="8.25">
      <c r="A19" s="18">
        <f t="shared" si="0"/>
        <v>101.78</v>
      </c>
      <c r="B19" s="19" t="s">
        <v>70</v>
      </c>
      <c r="C19" s="20" t="s">
        <v>37</v>
      </c>
      <c r="D19" s="21">
        <f t="shared" si="1"/>
        <v>101.78</v>
      </c>
      <c r="E19" s="22"/>
      <c r="F19" s="23"/>
      <c r="G19" s="23">
        <v>38.64</v>
      </c>
      <c r="H19" s="23"/>
      <c r="I19" s="23"/>
      <c r="J19" s="23">
        <v>32.06</v>
      </c>
      <c r="K19" s="23">
        <v>31.08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4" customFormat="1" ht="8.25">
      <c r="A20" s="26">
        <f t="shared" si="0"/>
        <v>88.42</v>
      </c>
      <c r="B20" s="19" t="s">
        <v>82</v>
      </c>
      <c r="C20" s="20" t="s">
        <v>7</v>
      </c>
      <c r="D20" s="21">
        <f t="shared" si="1"/>
        <v>88.42</v>
      </c>
      <c r="E20" s="22"/>
      <c r="F20" s="23"/>
      <c r="G20" s="23"/>
      <c r="H20" s="23"/>
      <c r="I20" s="23"/>
      <c r="J20" s="23">
        <v>41.22</v>
      </c>
      <c r="K20" s="23"/>
      <c r="L20" s="23"/>
      <c r="M20" s="23"/>
      <c r="N20" s="23"/>
      <c r="O20" s="23">
        <v>37.8</v>
      </c>
      <c r="P20" s="23"/>
      <c r="Q20" s="23"/>
      <c r="R20" s="23"/>
      <c r="S20" s="23"/>
      <c r="T20" s="23"/>
      <c r="U20" s="23">
        <v>9.4</v>
      </c>
      <c r="V20" s="23"/>
    </row>
    <row r="21" spans="1:22" s="24" customFormat="1" ht="8.25">
      <c r="A21" s="18">
        <f t="shared" si="0"/>
        <v>84.73</v>
      </c>
      <c r="B21" s="19" t="s">
        <v>78</v>
      </c>
      <c r="C21" s="20" t="s">
        <v>7</v>
      </c>
      <c r="D21" s="21">
        <f t="shared" si="1"/>
        <v>84.73</v>
      </c>
      <c r="E21" s="22"/>
      <c r="F21" s="23"/>
      <c r="G21" s="23"/>
      <c r="H21" s="23"/>
      <c r="I21" s="23"/>
      <c r="J21" s="23">
        <v>84.73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24" customFormat="1" ht="8.25">
      <c r="A22" s="18"/>
      <c r="B22" s="44"/>
      <c r="C22" s="15"/>
      <c r="D22" s="37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50"/>
    </row>
    <row r="23" spans="1:22" s="24" customFormat="1" ht="8.25">
      <c r="A23" s="18">
        <f t="shared" si="0"/>
        <v>62.26</v>
      </c>
      <c r="B23" s="19" t="s">
        <v>89</v>
      </c>
      <c r="C23" s="20" t="s">
        <v>7</v>
      </c>
      <c r="D23" s="21">
        <f t="shared" si="1"/>
        <v>62.26</v>
      </c>
      <c r="E23" s="22"/>
      <c r="F23" s="23"/>
      <c r="G23" s="23"/>
      <c r="H23" s="23"/>
      <c r="I23" s="23">
        <v>46.23</v>
      </c>
      <c r="J23" s="23">
        <v>16.03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24" customFormat="1" ht="8.25">
      <c r="A24" s="26">
        <f>SUM(0+D24)</f>
        <v>46.74</v>
      </c>
      <c r="B24" s="19" t="s">
        <v>103</v>
      </c>
      <c r="C24" s="20" t="s">
        <v>14</v>
      </c>
      <c r="D24" s="21">
        <f t="shared" si="1"/>
        <v>46.74</v>
      </c>
      <c r="E24" s="22"/>
      <c r="F24" s="23"/>
      <c r="G24" s="23"/>
      <c r="H24" s="23"/>
      <c r="I24" s="23"/>
      <c r="J24" s="23"/>
      <c r="K24" s="23"/>
      <c r="L24" s="23">
        <v>46.74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24" customFormat="1" ht="8.25">
      <c r="A25" s="18">
        <f>SUM(0+D25)</f>
        <v>45.36</v>
      </c>
      <c r="B25" s="19" t="s">
        <v>6</v>
      </c>
      <c r="C25" s="20" t="s">
        <v>7</v>
      </c>
      <c r="D25" s="21">
        <f t="shared" si="1"/>
        <v>45.36</v>
      </c>
      <c r="E25" s="22"/>
      <c r="F25" s="23"/>
      <c r="G25" s="23"/>
      <c r="H25" s="23"/>
      <c r="I25" s="23"/>
      <c r="J25" s="23"/>
      <c r="K25" s="23"/>
      <c r="L25" s="23"/>
      <c r="M25" s="23"/>
      <c r="N25" s="23">
        <v>45.36</v>
      </c>
      <c r="O25" s="23"/>
      <c r="P25" s="23"/>
      <c r="Q25" s="23"/>
      <c r="R25" s="23"/>
      <c r="S25" s="23"/>
      <c r="T25" s="23"/>
      <c r="U25" s="23"/>
      <c r="V25" s="23"/>
    </row>
    <row r="26" spans="1:22" s="24" customFormat="1" ht="8.25">
      <c r="A26" s="18">
        <f>SUM(0+D26)</f>
        <v>44.510000000000005</v>
      </c>
      <c r="B26" s="19" t="s">
        <v>87</v>
      </c>
      <c r="C26" s="20" t="s">
        <v>7</v>
      </c>
      <c r="D26" s="21">
        <f t="shared" si="1"/>
        <v>44.510000000000005</v>
      </c>
      <c r="E26" s="22"/>
      <c r="F26" s="23"/>
      <c r="G26" s="23"/>
      <c r="H26" s="23"/>
      <c r="I26" s="23"/>
      <c r="J26" s="23">
        <v>25.19</v>
      </c>
      <c r="K26" s="23"/>
      <c r="L26" s="23"/>
      <c r="M26" s="23"/>
      <c r="N26" s="23">
        <v>19.32</v>
      </c>
      <c r="O26" s="23"/>
      <c r="P26" s="23"/>
      <c r="Q26" s="23"/>
      <c r="R26" s="23"/>
      <c r="S26" s="23"/>
      <c r="T26" s="23"/>
      <c r="U26" s="23"/>
      <c r="V26" s="23"/>
    </row>
    <row r="27" spans="1:22" s="24" customFormat="1" ht="8.25">
      <c r="A27" s="26">
        <f>SUM(0+D27)</f>
        <v>41.22</v>
      </c>
      <c r="B27" s="19" t="s">
        <v>81</v>
      </c>
      <c r="C27" s="20" t="s">
        <v>7</v>
      </c>
      <c r="D27" s="21">
        <f t="shared" si="1"/>
        <v>41.22</v>
      </c>
      <c r="E27" s="22"/>
      <c r="F27" s="23"/>
      <c r="G27" s="23"/>
      <c r="H27" s="23"/>
      <c r="I27" s="23"/>
      <c r="J27" s="23">
        <v>41.22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4" customFormat="1" ht="8.25">
      <c r="A28" s="18">
        <f t="shared" si="0"/>
        <v>37.33</v>
      </c>
      <c r="B28" s="19" t="s">
        <v>72</v>
      </c>
      <c r="C28" s="20" t="s">
        <v>7</v>
      </c>
      <c r="D28" s="21">
        <f t="shared" si="1"/>
        <v>37.33</v>
      </c>
      <c r="E28" s="19"/>
      <c r="F28" s="25"/>
      <c r="G28" s="25">
        <v>7.56</v>
      </c>
      <c r="H28" s="25"/>
      <c r="I28" s="25"/>
      <c r="J28" s="25">
        <v>29.77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4" customFormat="1" ht="8.25">
      <c r="A29" s="18">
        <f t="shared" si="0"/>
        <v>36.64</v>
      </c>
      <c r="B29" s="19" t="s">
        <v>83</v>
      </c>
      <c r="C29" s="20" t="s">
        <v>7</v>
      </c>
      <c r="D29" s="21">
        <f t="shared" si="1"/>
        <v>36.64</v>
      </c>
      <c r="E29" s="19"/>
      <c r="F29" s="25"/>
      <c r="G29" s="25"/>
      <c r="H29" s="25"/>
      <c r="I29" s="25"/>
      <c r="J29" s="25">
        <v>36.64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4" customFormat="1" ht="8.25">
      <c r="A30" s="18">
        <f t="shared" si="0"/>
        <v>25.2</v>
      </c>
      <c r="B30" s="19" t="s">
        <v>113</v>
      </c>
      <c r="C30" s="20" t="s">
        <v>7</v>
      </c>
      <c r="D30" s="21">
        <f t="shared" si="1"/>
        <v>25.2</v>
      </c>
      <c r="E30" s="22"/>
      <c r="F30" s="23"/>
      <c r="G30" s="23"/>
      <c r="H30" s="23"/>
      <c r="I30" s="23"/>
      <c r="J30" s="23"/>
      <c r="K30" s="23"/>
      <c r="L30" s="23"/>
      <c r="M30" s="23"/>
      <c r="N30" s="23">
        <v>25.2</v>
      </c>
      <c r="O30" s="23"/>
      <c r="P30" s="23"/>
      <c r="Q30" s="23"/>
      <c r="R30" s="23"/>
      <c r="S30" s="23"/>
      <c r="T30" s="23"/>
      <c r="U30" s="23"/>
      <c r="V30" s="23"/>
    </row>
    <row r="31" spans="1:22" s="24" customFormat="1" ht="8.25">
      <c r="A31" s="26">
        <f t="shared" si="0"/>
        <v>25.19</v>
      </c>
      <c r="B31" s="19" t="s">
        <v>84</v>
      </c>
      <c r="C31" s="20" t="s">
        <v>7</v>
      </c>
      <c r="D31" s="21">
        <f t="shared" si="1"/>
        <v>25.19</v>
      </c>
      <c r="E31" s="22"/>
      <c r="F31" s="23"/>
      <c r="G31" s="23"/>
      <c r="H31" s="23"/>
      <c r="I31" s="23"/>
      <c r="J31" s="23">
        <v>25.19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8.25">
      <c r="A32" s="18">
        <f t="shared" si="0"/>
        <v>25.19</v>
      </c>
      <c r="B32" s="19" t="s">
        <v>85</v>
      </c>
      <c r="C32" s="20" t="s">
        <v>7</v>
      </c>
      <c r="D32" s="21">
        <f t="shared" si="1"/>
        <v>25.19</v>
      </c>
      <c r="E32" s="22"/>
      <c r="F32" s="23"/>
      <c r="G32" s="23"/>
      <c r="H32" s="23"/>
      <c r="I32" s="23"/>
      <c r="J32" s="23">
        <v>25.19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4" customFormat="1" ht="8.25">
      <c r="A33" s="18">
        <f t="shared" si="0"/>
        <v>25.19</v>
      </c>
      <c r="B33" s="19" t="s">
        <v>86</v>
      </c>
      <c r="C33" s="20" t="s">
        <v>7</v>
      </c>
      <c r="D33" s="21">
        <f t="shared" si="1"/>
        <v>25.19</v>
      </c>
      <c r="E33" s="22"/>
      <c r="F33" s="23"/>
      <c r="G33" s="23"/>
      <c r="H33" s="23"/>
      <c r="I33" s="23"/>
      <c r="J33" s="23">
        <v>25.19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24" customFormat="1" ht="8.25">
      <c r="A34" s="27">
        <f t="shared" si="0"/>
        <v>18.32</v>
      </c>
      <c r="B34" s="19" t="s">
        <v>88</v>
      </c>
      <c r="C34" s="20" t="s">
        <v>7</v>
      </c>
      <c r="D34" s="21">
        <f t="shared" si="1"/>
        <v>18.32</v>
      </c>
      <c r="E34" s="19"/>
      <c r="F34" s="25"/>
      <c r="G34" s="25"/>
      <c r="H34" s="25"/>
      <c r="I34" s="25"/>
      <c r="J34" s="25">
        <v>18.32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24" customFormat="1" ht="8.25">
      <c r="A35" s="27">
        <f t="shared" si="0"/>
        <v>18.24</v>
      </c>
      <c r="B35" s="19" t="s">
        <v>73</v>
      </c>
      <c r="C35" s="20" t="s">
        <v>14</v>
      </c>
      <c r="D35" s="21">
        <f t="shared" si="1"/>
        <v>18.24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5">
        <v>18.24</v>
      </c>
    </row>
    <row r="36" spans="1:22" s="24" customFormat="1" ht="8.25">
      <c r="A36" s="27">
        <f>SUM(0+D36)</f>
        <v>10.71</v>
      </c>
      <c r="B36" s="19" t="s">
        <v>99</v>
      </c>
      <c r="C36" s="20" t="s">
        <v>14</v>
      </c>
      <c r="D36" s="21">
        <f t="shared" si="1"/>
        <v>10.71</v>
      </c>
      <c r="E36" s="22"/>
      <c r="F36" s="23"/>
      <c r="G36" s="23"/>
      <c r="H36" s="23"/>
      <c r="I36" s="23"/>
      <c r="J36" s="23"/>
      <c r="K36" s="23">
        <v>3.33</v>
      </c>
      <c r="L36" s="23">
        <v>7.38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24" customFormat="1" ht="8.25">
      <c r="A37" s="27">
        <f>SUM(0+D37)</f>
        <v>9.24</v>
      </c>
      <c r="B37" s="19" t="s">
        <v>29</v>
      </c>
      <c r="C37" s="20" t="s">
        <v>7</v>
      </c>
      <c r="D37" s="21">
        <f t="shared" si="1"/>
        <v>9.24</v>
      </c>
      <c r="E37" s="22"/>
      <c r="F37" s="23"/>
      <c r="G37" s="23"/>
      <c r="H37" s="23"/>
      <c r="I37" s="23"/>
      <c r="J37" s="23"/>
      <c r="K37" s="23"/>
      <c r="L37" s="23"/>
      <c r="M37" s="23"/>
      <c r="N37" s="23">
        <v>9.24</v>
      </c>
      <c r="O37" s="23"/>
      <c r="P37" s="23"/>
      <c r="Q37" s="23"/>
      <c r="R37" s="23"/>
      <c r="S37" s="23"/>
      <c r="T37" s="23"/>
      <c r="U37" s="23"/>
      <c r="V37" s="23"/>
    </row>
    <row r="38" spans="3:22" s="24" customFormat="1" ht="8.25">
      <c r="C38" s="5"/>
      <c r="V38" s="29"/>
    </row>
    <row r="39" spans="1:22" s="5" customFormat="1" ht="8.25" customHeight="1">
      <c r="A39" s="1">
        <v>9999</v>
      </c>
      <c r="B39" s="51"/>
      <c r="C39" s="2" t="s">
        <v>4</v>
      </c>
      <c r="D39" s="3" t="s">
        <v>1</v>
      </c>
      <c r="E39" s="3" t="s">
        <v>53</v>
      </c>
      <c r="F39" s="3" t="s">
        <v>50</v>
      </c>
      <c r="G39" s="3" t="s">
        <v>46</v>
      </c>
      <c r="H39" s="3" t="s">
        <v>65</v>
      </c>
      <c r="I39" s="3" t="s">
        <v>45</v>
      </c>
      <c r="J39" s="3" t="s">
        <v>0</v>
      </c>
      <c r="K39" s="3" t="s">
        <v>44</v>
      </c>
      <c r="L39" s="3" t="s">
        <v>101</v>
      </c>
      <c r="M39" s="3" t="s">
        <v>43</v>
      </c>
      <c r="N39" s="3" t="s">
        <v>111</v>
      </c>
      <c r="O39" s="3" t="s">
        <v>114</v>
      </c>
      <c r="P39" s="3" t="s">
        <v>117</v>
      </c>
      <c r="Q39" s="3" t="s">
        <v>47</v>
      </c>
      <c r="R39" s="3" t="s">
        <v>125</v>
      </c>
      <c r="S39" s="3" t="s">
        <v>48</v>
      </c>
      <c r="T39" s="3" t="s">
        <v>129</v>
      </c>
      <c r="U39" s="3" t="s">
        <v>131</v>
      </c>
      <c r="V39" s="4" t="s">
        <v>135</v>
      </c>
    </row>
    <row r="40" spans="1:22" s="5" customFormat="1" ht="8.25" customHeight="1">
      <c r="A40" s="1">
        <v>9998</v>
      </c>
      <c r="B40" s="52" t="s">
        <v>31</v>
      </c>
      <c r="C40" s="6"/>
      <c r="D40" s="7"/>
      <c r="E40" s="7" t="s">
        <v>54</v>
      </c>
      <c r="F40" s="8" t="s">
        <v>62</v>
      </c>
      <c r="G40" s="8" t="s">
        <v>68</v>
      </c>
      <c r="H40" s="8" t="s">
        <v>66</v>
      </c>
      <c r="I40" s="8" t="s">
        <v>107</v>
      </c>
      <c r="J40" s="8" t="s">
        <v>75</v>
      </c>
      <c r="K40" s="8" t="s">
        <v>98</v>
      </c>
      <c r="L40" s="8" t="s">
        <v>102</v>
      </c>
      <c r="M40" s="8" t="s">
        <v>105</v>
      </c>
      <c r="N40" s="8" t="s">
        <v>112</v>
      </c>
      <c r="O40" s="7" t="s">
        <v>116</v>
      </c>
      <c r="P40" s="7" t="s">
        <v>118</v>
      </c>
      <c r="Q40" s="8" t="s">
        <v>120</v>
      </c>
      <c r="R40" s="8" t="s">
        <v>124</v>
      </c>
      <c r="S40" s="8" t="s">
        <v>126</v>
      </c>
      <c r="T40" s="8" t="s">
        <v>130</v>
      </c>
      <c r="U40" s="8" t="s">
        <v>132</v>
      </c>
      <c r="V40" s="9" t="s">
        <v>137</v>
      </c>
    </row>
    <row r="41" spans="1:22" s="13" customFormat="1" ht="8.25" customHeight="1">
      <c r="A41" s="1">
        <v>9997</v>
      </c>
      <c r="B41" s="53"/>
      <c r="C41" s="10"/>
      <c r="D41" s="11"/>
      <c r="E41" s="11" t="s">
        <v>52</v>
      </c>
      <c r="F41" s="11" t="s">
        <v>63</v>
      </c>
      <c r="G41" s="11" t="s">
        <v>69</v>
      </c>
      <c r="H41" s="11" t="s">
        <v>64</v>
      </c>
      <c r="I41" s="11" t="s">
        <v>108</v>
      </c>
      <c r="J41" s="11" t="s">
        <v>76</v>
      </c>
      <c r="K41" s="11" t="s">
        <v>22</v>
      </c>
      <c r="L41" s="11" t="s">
        <v>100</v>
      </c>
      <c r="M41" s="11" t="s">
        <v>104</v>
      </c>
      <c r="N41" s="11" t="s">
        <v>69</v>
      </c>
      <c r="O41" s="11" t="s">
        <v>115</v>
      </c>
      <c r="P41" s="11" t="s">
        <v>119</v>
      </c>
      <c r="Q41" s="40" t="s">
        <v>121</v>
      </c>
      <c r="R41" s="40" t="s">
        <v>123</v>
      </c>
      <c r="S41" s="40" t="s">
        <v>127</v>
      </c>
      <c r="T41" s="11" t="s">
        <v>128</v>
      </c>
      <c r="U41" s="11" t="s">
        <v>133</v>
      </c>
      <c r="V41" s="12" t="s">
        <v>136</v>
      </c>
    </row>
    <row r="42" spans="1:22" s="5" customFormat="1" ht="8.25" customHeight="1">
      <c r="A42" s="1">
        <v>9996</v>
      </c>
      <c r="B42" s="41" t="s">
        <v>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5"/>
      <c r="V42" s="43"/>
    </row>
    <row r="43" spans="1:22" s="24" customFormat="1" ht="8.25" customHeight="1">
      <c r="A43" s="18">
        <f aca="true" t="shared" si="2" ref="A43:A68">SUM(0+D43)</f>
        <v>2608.35</v>
      </c>
      <c r="B43" s="19" t="s">
        <v>18</v>
      </c>
      <c r="C43" s="20" t="s">
        <v>14</v>
      </c>
      <c r="D43" s="21">
        <v>2608.35</v>
      </c>
      <c r="E43" s="22">
        <v>173.46</v>
      </c>
      <c r="F43" s="23">
        <v>60.45</v>
      </c>
      <c r="G43" s="23">
        <v>434.28</v>
      </c>
      <c r="H43" s="23">
        <v>6.76</v>
      </c>
      <c r="I43" s="23">
        <v>17.94</v>
      </c>
      <c r="J43" s="22">
        <v>1149.58</v>
      </c>
      <c r="K43" s="22">
        <v>61.79</v>
      </c>
      <c r="L43" s="22">
        <v>410</v>
      </c>
      <c r="M43" s="22">
        <v>20.79</v>
      </c>
      <c r="N43" s="22">
        <v>357.84</v>
      </c>
      <c r="O43" s="22">
        <v>100.8</v>
      </c>
      <c r="P43" s="22"/>
      <c r="Q43" s="22">
        <v>64.5</v>
      </c>
      <c r="R43" s="22">
        <v>256.65</v>
      </c>
      <c r="S43" s="22"/>
      <c r="T43" s="42">
        <v>8.74</v>
      </c>
      <c r="U43" s="19">
        <v>22.09</v>
      </c>
      <c r="V43" s="19">
        <v>72.39</v>
      </c>
    </row>
    <row r="44" spans="1:22" s="24" customFormat="1" ht="8.25" customHeight="1">
      <c r="A44" s="18">
        <f t="shared" si="2"/>
        <v>503.7</v>
      </c>
      <c r="B44" s="19" t="s">
        <v>3</v>
      </c>
      <c r="C44" s="20" t="s">
        <v>7</v>
      </c>
      <c r="D44" s="21">
        <v>503.7</v>
      </c>
      <c r="E44" s="22">
        <v>17.64</v>
      </c>
      <c r="F44" s="23">
        <v>5.85</v>
      </c>
      <c r="G44" s="23">
        <v>42</v>
      </c>
      <c r="H44" s="23"/>
      <c r="I44" s="23">
        <v>29.67</v>
      </c>
      <c r="J44" s="22">
        <v>222.13</v>
      </c>
      <c r="K44" s="22">
        <v>9.25</v>
      </c>
      <c r="L44" s="22">
        <v>53.3</v>
      </c>
      <c r="M44" s="22"/>
      <c r="N44" s="22">
        <v>89.04</v>
      </c>
      <c r="O44" s="22">
        <v>16.8</v>
      </c>
      <c r="P44" s="22"/>
      <c r="Q44" s="22">
        <v>26.23</v>
      </c>
      <c r="R44" s="22">
        <v>54.87</v>
      </c>
      <c r="S44" s="22"/>
      <c r="T44" s="42"/>
      <c r="U44" s="19">
        <v>7.05</v>
      </c>
      <c r="V44" s="19">
        <v>84.36</v>
      </c>
    </row>
    <row r="45" spans="1:22" s="24" customFormat="1" ht="8.25" customHeight="1">
      <c r="A45" s="18">
        <f t="shared" si="2"/>
        <v>323.58</v>
      </c>
      <c r="B45" s="19" t="s">
        <v>8</v>
      </c>
      <c r="C45" s="20" t="s">
        <v>7</v>
      </c>
      <c r="D45" s="21">
        <v>323.58</v>
      </c>
      <c r="E45" s="22"/>
      <c r="F45" s="23"/>
      <c r="G45" s="23"/>
      <c r="H45" s="23"/>
      <c r="I45" s="23"/>
      <c r="J45" s="22">
        <v>141.98</v>
      </c>
      <c r="K45" s="22"/>
      <c r="L45" s="22">
        <v>94.3</v>
      </c>
      <c r="M45" s="22"/>
      <c r="N45" s="22">
        <v>55.44</v>
      </c>
      <c r="O45" s="22"/>
      <c r="P45" s="22"/>
      <c r="Q45" s="22"/>
      <c r="R45" s="22">
        <v>31.86</v>
      </c>
      <c r="S45" s="22"/>
      <c r="T45" s="42"/>
      <c r="U45" s="19"/>
      <c r="V45" s="19"/>
    </row>
    <row r="46" spans="1:22" s="24" customFormat="1" ht="8.25" customHeight="1">
      <c r="A46" s="18">
        <f t="shared" si="2"/>
        <v>241.87</v>
      </c>
      <c r="B46" s="19" t="s">
        <v>40</v>
      </c>
      <c r="C46" s="20" t="s">
        <v>14</v>
      </c>
      <c r="D46" s="21">
        <v>241.87</v>
      </c>
      <c r="E46" s="22">
        <v>55.86</v>
      </c>
      <c r="F46" s="23">
        <v>68.25</v>
      </c>
      <c r="G46" s="23">
        <v>7.56</v>
      </c>
      <c r="H46" s="23">
        <v>17.42</v>
      </c>
      <c r="I46" s="23">
        <v>22.08</v>
      </c>
      <c r="J46" s="22">
        <v>73.28</v>
      </c>
      <c r="K46" s="22"/>
      <c r="L46" s="22"/>
      <c r="M46" s="22">
        <v>2.43</v>
      </c>
      <c r="N46" s="22"/>
      <c r="O46" s="22">
        <v>22.4</v>
      </c>
      <c r="P46" s="22"/>
      <c r="Q46" s="22"/>
      <c r="R46" s="22"/>
      <c r="S46" s="38"/>
      <c r="T46" s="42">
        <v>7.59</v>
      </c>
      <c r="U46" s="19"/>
      <c r="V46" s="19">
        <v>20.52</v>
      </c>
    </row>
    <row r="47" spans="1:22" s="24" customFormat="1" ht="8.25" customHeight="1">
      <c r="A47" s="18">
        <f t="shared" si="2"/>
        <v>236.39</v>
      </c>
      <c r="B47" s="19" t="s">
        <v>10</v>
      </c>
      <c r="C47" s="20" t="s">
        <v>7</v>
      </c>
      <c r="D47" s="21">
        <v>236.39</v>
      </c>
      <c r="E47" s="22">
        <v>5.88</v>
      </c>
      <c r="F47" s="23"/>
      <c r="G47" s="23">
        <v>17.64</v>
      </c>
      <c r="H47" s="23"/>
      <c r="I47" s="23"/>
      <c r="J47" s="22">
        <v>59.54</v>
      </c>
      <c r="K47" s="22">
        <v>45.88</v>
      </c>
      <c r="L47" s="22">
        <v>7.38</v>
      </c>
      <c r="M47" s="22">
        <v>2.43</v>
      </c>
      <c r="N47" s="22">
        <v>33.6</v>
      </c>
      <c r="O47" s="22">
        <v>60.2</v>
      </c>
      <c r="P47" s="22"/>
      <c r="Q47" s="22"/>
      <c r="R47" s="22">
        <v>37.17</v>
      </c>
      <c r="S47" s="22"/>
      <c r="T47" s="42"/>
      <c r="U47" s="19">
        <v>9.4</v>
      </c>
      <c r="V47" s="19">
        <v>10.26</v>
      </c>
    </row>
    <row r="48" spans="1:22" s="24" customFormat="1" ht="8.25" customHeight="1">
      <c r="A48" s="18"/>
      <c r="B48" s="41" t="s">
        <v>33</v>
      </c>
      <c r="C48" s="15"/>
      <c r="D48" s="37"/>
      <c r="E48" s="46"/>
      <c r="F48" s="47"/>
      <c r="G48" s="47"/>
      <c r="H48" s="47"/>
      <c r="I48" s="47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8"/>
      <c r="U48" s="48"/>
      <c r="V48" s="42"/>
    </row>
    <row r="49" spans="1:22" s="24" customFormat="1" ht="8.25" customHeight="1">
      <c r="A49" s="18">
        <f t="shared" si="2"/>
        <v>234.38</v>
      </c>
      <c r="B49" s="19" t="s">
        <v>41</v>
      </c>
      <c r="C49" s="20" t="s">
        <v>14</v>
      </c>
      <c r="D49" s="21">
        <v>234.38</v>
      </c>
      <c r="E49" s="22">
        <v>24.5</v>
      </c>
      <c r="F49" s="23">
        <v>34.45</v>
      </c>
      <c r="G49" s="23">
        <v>9.24</v>
      </c>
      <c r="H49" s="23">
        <v>6.76</v>
      </c>
      <c r="I49" s="23">
        <v>5.52</v>
      </c>
      <c r="J49" s="22">
        <v>93.89</v>
      </c>
      <c r="K49" s="22"/>
      <c r="L49" s="22">
        <v>31.98</v>
      </c>
      <c r="M49" s="22"/>
      <c r="N49" s="22">
        <v>49.56</v>
      </c>
      <c r="O49" s="22">
        <v>7.7</v>
      </c>
      <c r="P49" s="22"/>
      <c r="Q49" s="22"/>
      <c r="R49" s="22"/>
      <c r="S49" s="22"/>
      <c r="T49" s="42"/>
      <c r="U49" s="19"/>
      <c r="V49" s="19">
        <v>6.27</v>
      </c>
    </row>
    <row r="50" spans="1:22" s="24" customFormat="1" ht="8.25" customHeight="1">
      <c r="A50" s="18">
        <f t="shared" si="2"/>
        <v>230.72</v>
      </c>
      <c r="B50" s="19" t="s">
        <v>73</v>
      </c>
      <c r="C50" s="20" t="s">
        <v>14</v>
      </c>
      <c r="D50" s="21">
        <v>230.72</v>
      </c>
      <c r="E50" s="22"/>
      <c r="F50" s="23"/>
      <c r="G50" s="23">
        <v>17.64</v>
      </c>
      <c r="H50" s="23"/>
      <c r="I50" s="23"/>
      <c r="J50" s="22">
        <v>57.25</v>
      </c>
      <c r="K50" s="22"/>
      <c r="L50" s="22">
        <v>5.74</v>
      </c>
      <c r="M50" s="22"/>
      <c r="N50" s="22">
        <v>9.24</v>
      </c>
      <c r="O50" s="22"/>
      <c r="P50" s="22">
        <v>34.83</v>
      </c>
      <c r="Q50" s="22">
        <v>23.65</v>
      </c>
      <c r="R50" s="22">
        <v>46.02</v>
      </c>
      <c r="S50" s="22"/>
      <c r="T50" s="42"/>
      <c r="U50" s="19"/>
      <c r="V50" s="19">
        <v>68.97</v>
      </c>
    </row>
    <row r="51" spans="1:22" s="24" customFormat="1" ht="8.25" customHeight="1">
      <c r="A51" s="18">
        <f t="shared" si="2"/>
        <v>160.89</v>
      </c>
      <c r="B51" s="19" t="s">
        <v>15</v>
      </c>
      <c r="C51" s="20" t="s">
        <v>7</v>
      </c>
      <c r="D51" s="21">
        <v>160.89</v>
      </c>
      <c r="E51" s="22"/>
      <c r="F51" s="23"/>
      <c r="G51" s="23">
        <v>31.92</v>
      </c>
      <c r="H51" s="23">
        <v>23.14</v>
      </c>
      <c r="I51" s="23"/>
      <c r="J51" s="22">
        <v>38.93</v>
      </c>
      <c r="K51" s="22">
        <v>3.33</v>
      </c>
      <c r="L51" s="22"/>
      <c r="M51" s="22"/>
      <c r="N51" s="22"/>
      <c r="O51" s="22">
        <v>43.4</v>
      </c>
      <c r="P51" s="22"/>
      <c r="Q51" s="22"/>
      <c r="R51" s="22">
        <v>5.31</v>
      </c>
      <c r="S51" s="22"/>
      <c r="T51" s="42"/>
      <c r="U51" s="19">
        <v>23.5</v>
      </c>
      <c r="V51" s="19"/>
    </row>
    <row r="52" spans="1:22" s="24" customFormat="1" ht="8.25" customHeight="1">
      <c r="A52" s="18">
        <f t="shared" si="2"/>
        <v>137.97</v>
      </c>
      <c r="B52" s="19" t="s">
        <v>77</v>
      </c>
      <c r="C52" s="20" t="s">
        <v>14</v>
      </c>
      <c r="D52" s="21">
        <v>137.97</v>
      </c>
      <c r="E52" s="22"/>
      <c r="F52" s="23"/>
      <c r="G52" s="23"/>
      <c r="H52" s="23"/>
      <c r="I52" s="23"/>
      <c r="J52" s="22">
        <v>107.63</v>
      </c>
      <c r="K52" s="22"/>
      <c r="L52" s="22">
        <v>30.34</v>
      </c>
      <c r="M52" s="22"/>
      <c r="N52" s="22"/>
      <c r="O52" s="22"/>
      <c r="P52" s="22"/>
      <c r="Q52" s="22"/>
      <c r="R52" s="22"/>
      <c r="S52" s="22"/>
      <c r="T52" s="42"/>
      <c r="U52" s="19"/>
      <c r="V52" s="19"/>
    </row>
    <row r="53" spans="1:22" s="24" customFormat="1" ht="8.25" customHeight="1">
      <c r="A53" s="18">
        <f t="shared" si="2"/>
        <v>110.89</v>
      </c>
      <c r="B53" s="19" t="s">
        <v>90</v>
      </c>
      <c r="C53" s="20" t="s">
        <v>7</v>
      </c>
      <c r="D53" s="21">
        <v>110.89</v>
      </c>
      <c r="E53" s="22"/>
      <c r="F53" s="23"/>
      <c r="G53" s="23"/>
      <c r="H53" s="23"/>
      <c r="I53" s="23"/>
      <c r="J53" s="22">
        <v>77.86</v>
      </c>
      <c r="K53" s="22"/>
      <c r="L53" s="22"/>
      <c r="M53" s="22"/>
      <c r="N53" s="22">
        <v>27.72</v>
      </c>
      <c r="O53" s="22"/>
      <c r="P53" s="22"/>
      <c r="Q53" s="22"/>
      <c r="R53" s="22">
        <v>5.31</v>
      </c>
      <c r="S53" s="22"/>
      <c r="T53" s="42"/>
      <c r="U53" s="19"/>
      <c r="V53" s="19"/>
    </row>
    <row r="54" spans="1:22" s="24" customFormat="1" ht="8.25" customHeight="1">
      <c r="A54" s="18"/>
      <c r="B54" s="41" t="s">
        <v>34</v>
      </c>
      <c r="C54" s="15"/>
      <c r="D54" s="37"/>
      <c r="E54" s="46"/>
      <c r="F54" s="47"/>
      <c r="G54" s="47"/>
      <c r="H54" s="47"/>
      <c r="I54" s="47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8"/>
      <c r="U54" s="48"/>
      <c r="V54" s="42"/>
    </row>
    <row r="55" spans="1:22" s="24" customFormat="1" ht="8.25" customHeight="1">
      <c r="A55" s="18">
        <f t="shared" si="2"/>
        <v>93.69</v>
      </c>
      <c r="B55" s="19" t="s">
        <v>61</v>
      </c>
      <c r="C55" s="20" t="s">
        <v>14</v>
      </c>
      <c r="D55" s="21">
        <v>93.69</v>
      </c>
      <c r="E55" s="22">
        <v>6.86</v>
      </c>
      <c r="F55" s="23"/>
      <c r="G55" s="23"/>
      <c r="H55" s="23"/>
      <c r="I55" s="23">
        <v>28.98</v>
      </c>
      <c r="J55" s="22">
        <v>34.35</v>
      </c>
      <c r="K55" s="22"/>
      <c r="L55" s="22">
        <v>6.56</v>
      </c>
      <c r="M55" s="22">
        <v>14.04</v>
      </c>
      <c r="N55" s="22"/>
      <c r="O55" s="22">
        <v>6.3</v>
      </c>
      <c r="P55" s="22"/>
      <c r="Q55" s="22">
        <v>9.46</v>
      </c>
      <c r="R55" s="22"/>
      <c r="S55" s="22"/>
      <c r="T55" s="42"/>
      <c r="U55" s="19"/>
      <c r="V55" s="19"/>
    </row>
    <row r="56" spans="1:22" s="24" customFormat="1" ht="8.25" customHeight="1">
      <c r="A56" s="18">
        <f t="shared" si="2"/>
        <v>80.89</v>
      </c>
      <c r="B56" s="19" t="s">
        <v>89</v>
      </c>
      <c r="C56" s="20" t="s">
        <v>7</v>
      </c>
      <c r="D56" s="21">
        <f aca="true" t="shared" si="3" ref="D56:D68">SUM(E56:V56)</f>
        <v>80.89</v>
      </c>
      <c r="E56" s="19"/>
      <c r="F56" s="25"/>
      <c r="G56" s="25"/>
      <c r="H56" s="25"/>
      <c r="I56" s="25">
        <v>46.23</v>
      </c>
      <c r="J56" s="19">
        <v>18.32</v>
      </c>
      <c r="K56" s="19"/>
      <c r="L56" s="19"/>
      <c r="M56" s="19"/>
      <c r="N56" s="19"/>
      <c r="O56" s="19"/>
      <c r="P56" s="19"/>
      <c r="Q56" s="19">
        <v>16.34</v>
      </c>
      <c r="R56" s="19"/>
      <c r="S56" s="19"/>
      <c r="T56" s="42"/>
      <c r="U56" s="19"/>
      <c r="V56" s="19"/>
    </row>
    <row r="57" spans="1:22" s="24" customFormat="1" ht="8.25" customHeight="1">
      <c r="A57" s="18">
        <f t="shared" si="2"/>
        <v>43.51</v>
      </c>
      <c r="B57" s="19" t="s">
        <v>93</v>
      </c>
      <c r="C57" s="20" t="s">
        <v>7</v>
      </c>
      <c r="D57" s="21">
        <f t="shared" si="3"/>
        <v>43.51</v>
      </c>
      <c r="E57" s="19"/>
      <c r="F57" s="25"/>
      <c r="G57" s="25"/>
      <c r="H57" s="25"/>
      <c r="I57" s="25"/>
      <c r="J57" s="19">
        <v>43.51</v>
      </c>
      <c r="K57" s="19"/>
      <c r="L57" s="19"/>
      <c r="M57" s="19"/>
      <c r="N57" s="19"/>
      <c r="O57" s="19"/>
      <c r="P57" s="19"/>
      <c r="Q57" s="19"/>
      <c r="R57" s="19"/>
      <c r="S57" s="19"/>
      <c r="T57" s="42"/>
      <c r="U57" s="19"/>
      <c r="V57" s="19"/>
    </row>
    <row r="58" spans="1:22" s="24" customFormat="1" ht="8.25" customHeight="1">
      <c r="A58" s="18">
        <f t="shared" si="2"/>
        <v>41.160000000000004</v>
      </c>
      <c r="B58" s="19" t="s">
        <v>95</v>
      </c>
      <c r="C58" s="20" t="s">
        <v>14</v>
      </c>
      <c r="D58" s="21">
        <f t="shared" si="3"/>
        <v>41.160000000000004</v>
      </c>
      <c r="E58" s="22"/>
      <c r="F58" s="23"/>
      <c r="G58" s="23"/>
      <c r="H58" s="23"/>
      <c r="I58" s="23"/>
      <c r="J58" s="22">
        <v>25.19</v>
      </c>
      <c r="K58" s="22"/>
      <c r="L58" s="22">
        <v>10.66</v>
      </c>
      <c r="M58" s="22"/>
      <c r="N58" s="22"/>
      <c r="O58" s="22"/>
      <c r="P58" s="22"/>
      <c r="Q58" s="22"/>
      <c r="R58" s="22">
        <v>5.31</v>
      </c>
      <c r="S58" s="22"/>
      <c r="T58" s="42"/>
      <c r="U58" s="19"/>
      <c r="V58" s="19"/>
    </row>
    <row r="59" spans="1:22" s="24" customFormat="1" ht="8.25" customHeight="1">
      <c r="A59" s="18">
        <f t="shared" si="2"/>
        <v>36.11</v>
      </c>
      <c r="B59" s="19" t="s">
        <v>71</v>
      </c>
      <c r="C59" s="20" t="s">
        <v>7</v>
      </c>
      <c r="D59" s="21">
        <f t="shared" si="3"/>
        <v>36.11</v>
      </c>
      <c r="E59" s="19"/>
      <c r="F59" s="25"/>
      <c r="G59" s="25"/>
      <c r="H59" s="25"/>
      <c r="I59" s="25"/>
      <c r="J59" s="19">
        <v>25.19</v>
      </c>
      <c r="K59" s="19"/>
      <c r="L59" s="19"/>
      <c r="M59" s="19"/>
      <c r="N59" s="19">
        <v>10.92</v>
      </c>
      <c r="O59" s="19"/>
      <c r="P59" s="19"/>
      <c r="Q59" s="19"/>
      <c r="R59" s="19"/>
      <c r="S59" s="19"/>
      <c r="T59" s="42"/>
      <c r="U59" s="19"/>
      <c r="V59" s="19"/>
    </row>
    <row r="60" spans="1:22" s="24" customFormat="1" ht="8.25" customHeight="1">
      <c r="A60" s="18"/>
      <c r="B60" s="44"/>
      <c r="C60" s="15"/>
      <c r="D60" s="37"/>
      <c r="E60" s="48"/>
      <c r="F60" s="49"/>
      <c r="G60" s="49"/>
      <c r="H60" s="49"/>
      <c r="I60" s="49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2"/>
    </row>
    <row r="61" spans="1:22" s="24" customFormat="1" ht="8.25" customHeight="1">
      <c r="A61" s="18">
        <f t="shared" si="2"/>
        <v>27.06</v>
      </c>
      <c r="B61" s="19" t="s">
        <v>103</v>
      </c>
      <c r="C61" s="20" t="s">
        <v>14</v>
      </c>
      <c r="D61" s="21">
        <f t="shared" si="3"/>
        <v>27.06</v>
      </c>
      <c r="E61" s="22"/>
      <c r="F61" s="23"/>
      <c r="G61" s="23"/>
      <c r="H61" s="23"/>
      <c r="I61" s="23"/>
      <c r="J61" s="22"/>
      <c r="K61" s="22"/>
      <c r="L61" s="22">
        <v>27.06</v>
      </c>
      <c r="M61" s="22"/>
      <c r="N61" s="22"/>
      <c r="O61" s="22"/>
      <c r="P61" s="22"/>
      <c r="Q61" s="22"/>
      <c r="R61" s="22"/>
      <c r="S61" s="22"/>
      <c r="T61" s="42"/>
      <c r="U61" s="19"/>
      <c r="V61" s="19"/>
    </row>
    <row r="62" spans="1:22" s="24" customFormat="1" ht="8.25" customHeight="1">
      <c r="A62" s="18">
        <f t="shared" si="2"/>
        <v>26.83</v>
      </c>
      <c r="B62" s="19" t="s">
        <v>38</v>
      </c>
      <c r="C62" s="20" t="s">
        <v>37</v>
      </c>
      <c r="D62" s="21">
        <f t="shared" si="3"/>
        <v>26.83</v>
      </c>
      <c r="E62" s="19"/>
      <c r="F62" s="25"/>
      <c r="G62" s="25">
        <v>10.92</v>
      </c>
      <c r="H62" s="25"/>
      <c r="I62" s="25"/>
      <c r="J62" s="19"/>
      <c r="K62" s="19">
        <v>15.91</v>
      </c>
      <c r="L62" s="19"/>
      <c r="M62" s="19"/>
      <c r="N62" s="19"/>
      <c r="O62" s="19"/>
      <c r="P62" s="19"/>
      <c r="Q62" s="19"/>
      <c r="R62" s="19"/>
      <c r="S62" s="19"/>
      <c r="T62" s="42"/>
      <c r="U62" s="19"/>
      <c r="V62" s="19"/>
    </row>
    <row r="63" spans="1:22" s="24" customFormat="1" ht="8.25" customHeight="1">
      <c r="A63" s="18">
        <f t="shared" si="2"/>
        <v>25.19</v>
      </c>
      <c r="B63" s="19" t="s">
        <v>94</v>
      </c>
      <c r="C63" s="39" t="s">
        <v>7</v>
      </c>
      <c r="D63" s="21">
        <f t="shared" si="3"/>
        <v>25.19</v>
      </c>
      <c r="E63" s="19"/>
      <c r="F63" s="25"/>
      <c r="G63" s="25"/>
      <c r="H63" s="25"/>
      <c r="I63" s="25"/>
      <c r="J63" s="19">
        <v>25.19</v>
      </c>
      <c r="K63" s="19"/>
      <c r="L63" s="19"/>
      <c r="M63" s="19"/>
      <c r="N63" s="19"/>
      <c r="O63" s="19"/>
      <c r="P63" s="19"/>
      <c r="Q63" s="19"/>
      <c r="R63" s="19"/>
      <c r="S63" s="19"/>
      <c r="T63" s="42"/>
      <c r="U63" s="19"/>
      <c r="V63" s="19"/>
    </row>
    <row r="64" spans="1:22" s="24" customFormat="1" ht="8.25" customHeight="1">
      <c r="A64" s="18">
        <f t="shared" si="2"/>
        <v>20.61</v>
      </c>
      <c r="B64" s="19" t="s">
        <v>96</v>
      </c>
      <c r="C64" s="20" t="s">
        <v>7</v>
      </c>
      <c r="D64" s="21">
        <f t="shared" si="3"/>
        <v>20.61</v>
      </c>
      <c r="E64" s="22"/>
      <c r="F64" s="23"/>
      <c r="G64" s="23"/>
      <c r="H64" s="23"/>
      <c r="I64" s="23"/>
      <c r="J64" s="22">
        <v>20.61</v>
      </c>
      <c r="K64" s="22"/>
      <c r="L64" s="22"/>
      <c r="M64" s="22"/>
      <c r="N64" s="22"/>
      <c r="O64" s="22"/>
      <c r="P64" s="22"/>
      <c r="Q64" s="22"/>
      <c r="R64" s="22"/>
      <c r="S64" s="22"/>
      <c r="T64" s="42"/>
      <c r="U64" s="19"/>
      <c r="V64" s="19"/>
    </row>
    <row r="65" spans="1:22" s="24" customFormat="1" ht="8.25" customHeight="1">
      <c r="A65" s="18">
        <f t="shared" si="2"/>
        <v>17.11</v>
      </c>
      <c r="B65" s="19" t="s">
        <v>6</v>
      </c>
      <c r="C65" s="20" t="s">
        <v>7</v>
      </c>
      <c r="D65" s="21">
        <f t="shared" si="3"/>
        <v>17.11</v>
      </c>
      <c r="E65" s="19"/>
      <c r="F65" s="25"/>
      <c r="G65" s="25"/>
      <c r="H65" s="25"/>
      <c r="I65" s="25"/>
      <c r="J65" s="19"/>
      <c r="K65" s="19"/>
      <c r="L65" s="19"/>
      <c r="M65" s="19"/>
      <c r="N65" s="19"/>
      <c r="O65" s="19"/>
      <c r="P65" s="19"/>
      <c r="Q65" s="19"/>
      <c r="R65" s="19">
        <v>17.11</v>
      </c>
      <c r="S65" s="19"/>
      <c r="T65" s="42"/>
      <c r="U65" s="19"/>
      <c r="V65" s="19"/>
    </row>
    <row r="66" spans="1:22" s="24" customFormat="1" ht="8.25" customHeight="1">
      <c r="A66" s="18">
        <f t="shared" si="2"/>
        <v>10.71</v>
      </c>
      <c r="B66" s="19" t="s">
        <v>99</v>
      </c>
      <c r="C66" s="20" t="s">
        <v>14</v>
      </c>
      <c r="D66" s="21">
        <f t="shared" si="3"/>
        <v>10.71</v>
      </c>
      <c r="E66" s="22"/>
      <c r="F66" s="23"/>
      <c r="G66" s="23"/>
      <c r="H66" s="23"/>
      <c r="I66" s="23"/>
      <c r="J66" s="22"/>
      <c r="K66" s="22">
        <v>3.33</v>
      </c>
      <c r="L66" s="22">
        <v>7.38</v>
      </c>
      <c r="M66" s="22"/>
      <c r="N66" s="22"/>
      <c r="O66" s="22"/>
      <c r="P66" s="22"/>
      <c r="Q66" s="22"/>
      <c r="R66" s="22"/>
      <c r="S66" s="22"/>
      <c r="T66" s="42"/>
      <c r="U66" s="19"/>
      <c r="V66" s="19"/>
    </row>
    <row r="67" spans="1:22" s="24" customFormat="1" ht="8.25" customHeight="1">
      <c r="A67" s="18">
        <f t="shared" si="2"/>
        <v>6.86</v>
      </c>
      <c r="B67" s="19" t="s">
        <v>60</v>
      </c>
      <c r="C67" s="20" t="s">
        <v>7</v>
      </c>
      <c r="D67" s="21">
        <f t="shared" si="3"/>
        <v>6.86</v>
      </c>
      <c r="E67" s="22">
        <v>6.86</v>
      </c>
      <c r="F67" s="23"/>
      <c r="G67" s="23"/>
      <c r="H67" s="23"/>
      <c r="I67" s="23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42"/>
      <c r="U67" s="19"/>
      <c r="V67" s="19"/>
    </row>
    <row r="68" spans="1:22" s="24" customFormat="1" ht="8.25" customHeight="1">
      <c r="A68" s="18">
        <f t="shared" si="2"/>
        <v>2.97</v>
      </c>
      <c r="B68" s="19" t="s">
        <v>106</v>
      </c>
      <c r="C68" s="20" t="s">
        <v>14</v>
      </c>
      <c r="D68" s="21">
        <f t="shared" si="3"/>
        <v>2.97</v>
      </c>
      <c r="E68" s="22"/>
      <c r="F68" s="23"/>
      <c r="G68" s="23"/>
      <c r="H68" s="23"/>
      <c r="I68" s="23"/>
      <c r="J68" s="22"/>
      <c r="K68" s="22"/>
      <c r="L68" s="22"/>
      <c r="M68" s="22">
        <v>2.97</v>
      </c>
      <c r="N68" s="22"/>
      <c r="O68" s="22"/>
      <c r="P68" s="22"/>
      <c r="Q68" s="22"/>
      <c r="R68" s="22"/>
      <c r="S68" s="22"/>
      <c r="T68" s="42"/>
      <c r="U68" s="19"/>
      <c r="V68" s="19"/>
    </row>
    <row r="70" spans="1:22" s="5" customFormat="1" ht="8.25">
      <c r="A70" s="1">
        <v>9999</v>
      </c>
      <c r="B70" s="51"/>
      <c r="C70" s="2" t="s">
        <v>4</v>
      </c>
      <c r="D70" s="3" t="s">
        <v>1</v>
      </c>
      <c r="E70" s="3" t="s">
        <v>53</v>
      </c>
      <c r="F70" s="3" t="s">
        <v>50</v>
      </c>
      <c r="G70" s="3" t="s">
        <v>46</v>
      </c>
      <c r="H70" s="3" t="s">
        <v>65</v>
      </c>
      <c r="I70" s="3" t="s">
        <v>45</v>
      </c>
      <c r="J70" s="3" t="s">
        <v>0</v>
      </c>
      <c r="K70" s="3" t="s">
        <v>44</v>
      </c>
      <c r="L70" s="3" t="s">
        <v>101</v>
      </c>
      <c r="M70" s="3" t="s">
        <v>43</v>
      </c>
      <c r="N70" s="3" t="s">
        <v>111</v>
      </c>
      <c r="O70" s="3" t="s">
        <v>114</v>
      </c>
      <c r="P70" s="3" t="s">
        <v>117</v>
      </c>
      <c r="Q70" s="3" t="s">
        <v>47</v>
      </c>
      <c r="R70" s="3" t="s">
        <v>125</v>
      </c>
      <c r="S70" s="3" t="s">
        <v>48</v>
      </c>
      <c r="T70" s="3" t="s">
        <v>129</v>
      </c>
      <c r="U70" s="3" t="s">
        <v>131</v>
      </c>
      <c r="V70" s="4" t="s">
        <v>135</v>
      </c>
    </row>
    <row r="71" spans="1:22" s="5" customFormat="1" ht="8.25">
      <c r="A71" s="1">
        <v>9998</v>
      </c>
      <c r="B71" s="52" t="s">
        <v>30</v>
      </c>
      <c r="C71" s="6"/>
      <c r="D71" s="7"/>
      <c r="E71" s="7" t="s">
        <v>54</v>
      </c>
      <c r="F71" s="8" t="s">
        <v>62</v>
      </c>
      <c r="G71" s="8" t="s">
        <v>68</v>
      </c>
      <c r="H71" s="8" t="s">
        <v>66</v>
      </c>
      <c r="I71" s="8" t="s">
        <v>107</v>
      </c>
      <c r="J71" s="8" t="s">
        <v>75</v>
      </c>
      <c r="K71" s="8" t="s">
        <v>98</v>
      </c>
      <c r="L71" s="8" t="s">
        <v>102</v>
      </c>
      <c r="M71" s="8" t="s">
        <v>105</v>
      </c>
      <c r="N71" s="8" t="s">
        <v>112</v>
      </c>
      <c r="O71" s="7" t="s">
        <v>116</v>
      </c>
      <c r="P71" s="7" t="s">
        <v>118</v>
      </c>
      <c r="Q71" s="8" t="s">
        <v>120</v>
      </c>
      <c r="R71" s="8" t="s">
        <v>124</v>
      </c>
      <c r="S71" s="8" t="s">
        <v>126</v>
      </c>
      <c r="T71" s="8" t="s">
        <v>130</v>
      </c>
      <c r="U71" s="8" t="s">
        <v>132</v>
      </c>
      <c r="V71" s="9" t="s">
        <v>137</v>
      </c>
    </row>
    <row r="72" spans="1:22" s="13" customFormat="1" ht="8.25">
      <c r="A72" s="1">
        <v>9997</v>
      </c>
      <c r="B72" s="53"/>
      <c r="C72" s="10"/>
      <c r="D72" s="11"/>
      <c r="E72" s="11" t="s">
        <v>52</v>
      </c>
      <c r="F72" s="11" t="s">
        <v>63</v>
      </c>
      <c r="G72" s="11" t="s">
        <v>69</v>
      </c>
      <c r="H72" s="11" t="s">
        <v>64</v>
      </c>
      <c r="I72" s="11" t="s">
        <v>108</v>
      </c>
      <c r="J72" s="11" t="s">
        <v>76</v>
      </c>
      <c r="K72" s="11" t="s">
        <v>22</v>
      </c>
      <c r="L72" s="11" t="s">
        <v>100</v>
      </c>
      <c r="M72" s="11" t="s">
        <v>104</v>
      </c>
      <c r="N72" s="11" t="s">
        <v>69</v>
      </c>
      <c r="O72" s="11" t="s">
        <v>115</v>
      </c>
      <c r="P72" s="11" t="s">
        <v>119</v>
      </c>
      <c r="Q72" s="40" t="s">
        <v>121</v>
      </c>
      <c r="R72" s="40" t="s">
        <v>123</v>
      </c>
      <c r="S72" s="40" t="s">
        <v>127</v>
      </c>
      <c r="T72" s="11" t="s">
        <v>128</v>
      </c>
      <c r="U72" s="11" t="s">
        <v>133</v>
      </c>
      <c r="V72" s="12" t="s">
        <v>136</v>
      </c>
    </row>
    <row r="73" spans="1:22" s="5" customFormat="1" ht="8.25">
      <c r="A73" s="1">
        <v>9996</v>
      </c>
      <c r="B73" s="41" t="s">
        <v>2</v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35"/>
    </row>
    <row r="74" spans="1:22" s="24" customFormat="1" ht="8.25">
      <c r="A74" s="18">
        <f aca="true" t="shared" si="4" ref="A74:A93">SUM(0+D74)</f>
        <v>1154.75</v>
      </c>
      <c r="B74" s="19" t="s">
        <v>18</v>
      </c>
      <c r="C74" s="20" t="s">
        <v>14</v>
      </c>
      <c r="D74" s="21">
        <v>1154.75</v>
      </c>
      <c r="E74" s="22"/>
      <c r="F74" s="22"/>
      <c r="G74" s="22">
        <v>169.68</v>
      </c>
      <c r="H74" s="22"/>
      <c r="I74" s="22">
        <v>3.45</v>
      </c>
      <c r="J74" s="22">
        <v>531.28</v>
      </c>
      <c r="K74" s="22">
        <v>4.44</v>
      </c>
      <c r="L74" s="22">
        <v>171.38</v>
      </c>
      <c r="M74" s="22"/>
      <c r="N74" s="22">
        <v>157.92</v>
      </c>
      <c r="O74" s="22">
        <v>7</v>
      </c>
      <c r="P74" s="22"/>
      <c r="Q74" s="22"/>
      <c r="R74" s="22">
        <v>124.49</v>
      </c>
      <c r="S74" s="22"/>
      <c r="T74" s="22">
        <v>8.74</v>
      </c>
      <c r="U74" s="22"/>
      <c r="V74" s="22"/>
    </row>
    <row r="75" spans="1:22" s="24" customFormat="1" ht="8.25">
      <c r="A75" s="18">
        <f t="shared" si="4"/>
        <v>382.35</v>
      </c>
      <c r="B75" s="19" t="s">
        <v>3</v>
      </c>
      <c r="C75" s="20" t="s">
        <v>7</v>
      </c>
      <c r="D75" s="21">
        <v>382.35</v>
      </c>
      <c r="E75" s="22">
        <v>7.84</v>
      </c>
      <c r="F75" s="22"/>
      <c r="G75" s="22">
        <v>37.8</v>
      </c>
      <c r="H75" s="22"/>
      <c r="I75" s="22"/>
      <c r="J75" s="22">
        <v>160.3</v>
      </c>
      <c r="K75" s="22">
        <v>2.22</v>
      </c>
      <c r="L75" s="22"/>
      <c r="M75" s="22"/>
      <c r="N75" s="22">
        <v>70.56</v>
      </c>
      <c r="O75" s="22">
        <v>7</v>
      </c>
      <c r="P75" s="22"/>
      <c r="Q75" s="22">
        <v>3.01</v>
      </c>
      <c r="R75" s="22">
        <v>41.3</v>
      </c>
      <c r="S75" s="22"/>
      <c r="T75" s="22"/>
      <c r="U75" s="22"/>
      <c r="V75" s="22">
        <v>72.39</v>
      </c>
    </row>
    <row r="76" spans="1:22" s="24" customFormat="1" ht="8.25">
      <c r="A76" s="18">
        <f t="shared" si="4"/>
        <v>323.58</v>
      </c>
      <c r="B76" s="19" t="s">
        <v>8</v>
      </c>
      <c r="C76" s="20" t="s">
        <v>7</v>
      </c>
      <c r="D76" s="21">
        <v>323.58</v>
      </c>
      <c r="E76" s="21"/>
      <c r="F76" s="21"/>
      <c r="G76" s="21"/>
      <c r="H76" s="21"/>
      <c r="I76" s="21"/>
      <c r="J76" s="21">
        <v>141.98</v>
      </c>
      <c r="K76" s="21"/>
      <c r="L76" s="21">
        <v>94.3</v>
      </c>
      <c r="M76" s="21"/>
      <c r="N76" s="21">
        <v>55.44</v>
      </c>
      <c r="O76" s="21"/>
      <c r="P76" s="21"/>
      <c r="Q76" s="21"/>
      <c r="R76" s="21">
        <v>31.86</v>
      </c>
      <c r="S76" s="21"/>
      <c r="T76" s="21"/>
      <c r="U76" s="21"/>
      <c r="V76" s="21"/>
    </row>
    <row r="77" spans="1:22" s="24" customFormat="1" ht="8.25">
      <c r="A77" s="18">
        <f t="shared" si="4"/>
        <v>180.49</v>
      </c>
      <c r="B77" s="19" t="s">
        <v>56</v>
      </c>
      <c r="C77" s="20" t="s">
        <v>14</v>
      </c>
      <c r="D77" s="21">
        <v>180.49</v>
      </c>
      <c r="E77" s="22">
        <v>43.12</v>
      </c>
      <c r="F77" s="22">
        <v>40.3</v>
      </c>
      <c r="G77" s="22"/>
      <c r="H77" s="22">
        <v>17.42</v>
      </c>
      <c r="I77" s="22"/>
      <c r="J77" s="22">
        <v>57.25</v>
      </c>
      <c r="K77" s="22"/>
      <c r="L77" s="22"/>
      <c r="M77" s="22"/>
      <c r="N77" s="22"/>
      <c r="O77" s="22">
        <v>22.4</v>
      </c>
      <c r="P77" s="22"/>
      <c r="Q77" s="22"/>
      <c r="R77" s="22"/>
      <c r="S77" s="22"/>
      <c r="T77" s="22"/>
      <c r="U77" s="22"/>
      <c r="V77" s="22"/>
    </row>
    <row r="78" spans="1:22" s="24" customFormat="1" ht="8.25">
      <c r="A78" s="18">
        <f t="shared" si="4"/>
        <v>137.97</v>
      </c>
      <c r="B78" s="19" t="s">
        <v>77</v>
      </c>
      <c r="C78" s="20" t="s">
        <v>14</v>
      </c>
      <c r="D78" s="21">
        <v>137.97</v>
      </c>
      <c r="E78" s="22"/>
      <c r="F78" s="22"/>
      <c r="G78" s="22"/>
      <c r="H78" s="22"/>
      <c r="I78" s="22"/>
      <c r="J78" s="22">
        <v>107.63</v>
      </c>
      <c r="K78" s="22"/>
      <c r="L78" s="22">
        <v>30.34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s="24" customFormat="1" ht="8.25">
      <c r="A79" s="18"/>
      <c r="B79" s="41" t="s">
        <v>33</v>
      </c>
      <c r="C79" s="15"/>
      <c r="D79" s="3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38"/>
    </row>
    <row r="80" spans="1:22" s="24" customFormat="1" ht="8.25">
      <c r="A80" s="18">
        <f t="shared" si="4"/>
        <v>136.52</v>
      </c>
      <c r="B80" s="19" t="s">
        <v>10</v>
      </c>
      <c r="C80" s="20" t="s">
        <v>7</v>
      </c>
      <c r="D80" s="21">
        <v>136.52</v>
      </c>
      <c r="E80" s="21">
        <v>5.88</v>
      </c>
      <c r="F80" s="21"/>
      <c r="G80" s="21">
        <v>6.72</v>
      </c>
      <c r="H80" s="21"/>
      <c r="I80" s="21"/>
      <c r="J80" s="21">
        <v>11.45</v>
      </c>
      <c r="K80" s="21">
        <v>33.3</v>
      </c>
      <c r="L80" s="21">
        <v>7.38</v>
      </c>
      <c r="M80" s="21"/>
      <c r="N80" s="21">
        <v>33.6</v>
      </c>
      <c r="O80" s="21">
        <v>21</v>
      </c>
      <c r="P80" s="21"/>
      <c r="Q80" s="21"/>
      <c r="R80" s="21">
        <v>37.17</v>
      </c>
      <c r="S80" s="21"/>
      <c r="T80" s="21"/>
      <c r="U80" s="21"/>
      <c r="V80" s="21">
        <v>10.26</v>
      </c>
    </row>
    <row r="81" spans="1:22" s="24" customFormat="1" ht="8.25">
      <c r="A81" s="18">
        <f>SUM(0+D81)</f>
        <v>77.86</v>
      </c>
      <c r="B81" s="19" t="s">
        <v>97</v>
      </c>
      <c r="C81" s="20" t="s">
        <v>7</v>
      </c>
      <c r="D81" s="21">
        <v>77.86</v>
      </c>
      <c r="E81" s="21"/>
      <c r="F81" s="21"/>
      <c r="G81" s="21"/>
      <c r="H81" s="21"/>
      <c r="I81" s="21"/>
      <c r="J81" s="21">
        <v>77.86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24" customFormat="1" ht="8.25">
      <c r="A82" s="18">
        <f t="shared" si="4"/>
        <v>46.23</v>
      </c>
      <c r="B82" s="19" t="s">
        <v>89</v>
      </c>
      <c r="C82" s="20" t="s">
        <v>7</v>
      </c>
      <c r="D82" s="21">
        <f aca="true" t="shared" si="5" ref="D82:D93">SUM(E82:V82)</f>
        <v>46.23</v>
      </c>
      <c r="E82" s="21"/>
      <c r="F82" s="21"/>
      <c r="G82" s="21"/>
      <c r="H82" s="21"/>
      <c r="I82" s="21">
        <v>46.23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24" customFormat="1" ht="8.25">
      <c r="A83" s="18">
        <f t="shared" si="4"/>
        <v>43.51</v>
      </c>
      <c r="B83" s="19" t="s">
        <v>93</v>
      </c>
      <c r="C83" s="20" t="s">
        <v>7</v>
      </c>
      <c r="D83" s="21">
        <f t="shared" si="5"/>
        <v>43.51</v>
      </c>
      <c r="E83" s="22"/>
      <c r="F83" s="22"/>
      <c r="G83" s="22"/>
      <c r="H83" s="22"/>
      <c r="I83" s="22"/>
      <c r="J83" s="22">
        <v>43.51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24" customFormat="1" ht="8.25">
      <c r="A84" s="18">
        <f>SUM(0+D84)</f>
        <v>41.160000000000004</v>
      </c>
      <c r="B84" s="19" t="s">
        <v>19</v>
      </c>
      <c r="C84" s="20" t="s">
        <v>14</v>
      </c>
      <c r="D84" s="21">
        <f t="shared" si="5"/>
        <v>41.160000000000004</v>
      </c>
      <c r="E84" s="22"/>
      <c r="F84" s="22"/>
      <c r="G84" s="22"/>
      <c r="H84" s="22"/>
      <c r="I84" s="22"/>
      <c r="J84" s="22">
        <v>25.19</v>
      </c>
      <c r="K84" s="22"/>
      <c r="L84" s="22">
        <v>10.66</v>
      </c>
      <c r="M84" s="22"/>
      <c r="N84" s="22"/>
      <c r="O84" s="22"/>
      <c r="P84" s="22"/>
      <c r="Q84" s="22"/>
      <c r="R84" s="22">
        <v>5.31</v>
      </c>
      <c r="S84" s="22"/>
      <c r="T84" s="22"/>
      <c r="U84" s="22"/>
      <c r="V84" s="22"/>
    </row>
    <row r="85" spans="1:22" s="24" customFormat="1" ht="8.25">
      <c r="A85" s="18"/>
      <c r="B85" s="41" t="s">
        <v>34</v>
      </c>
      <c r="C85" s="15"/>
      <c r="D85" s="37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38"/>
    </row>
    <row r="86" spans="1:22" s="24" customFormat="1" ht="8.25">
      <c r="A86" s="18">
        <f t="shared" si="4"/>
        <v>38.79</v>
      </c>
      <c r="B86" s="19" t="s">
        <v>15</v>
      </c>
      <c r="C86" s="20" t="s">
        <v>7</v>
      </c>
      <c r="D86" s="21">
        <f t="shared" si="5"/>
        <v>38.79</v>
      </c>
      <c r="E86" s="22"/>
      <c r="F86" s="22"/>
      <c r="G86" s="22">
        <v>4.2</v>
      </c>
      <c r="H86" s="22">
        <v>23.14</v>
      </c>
      <c r="I86" s="22"/>
      <c r="J86" s="22">
        <v>11.45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s="24" customFormat="1" ht="8.25">
      <c r="A87" s="18">
        <f t="shared" si="4"/>
        <v>36.11</v>
      </c>
      <c r="B87" s="19" t="s">
        <v>71</v>
      </c>
      <c r="C87" s="20" t="s">
        <v>7</v>
      </c>
      <c r="D87" s="21">
        <f t="shared" si="5"/>
        <v>36.11</v>
      </c>
      <c r="E87" s="22"/>
      <c r="F87" s="22"/>
      <c r="G87" s="22"/>
      <c r="H87" s="22"/>
      <c r="I87" s="22"/>
      <c r="J87" s="22">
        <v>25.19</v>
      </c>
      <c r="K87" s="22"/>
      <c r="L87" s="22"/>
      <c r="M87" s="22"/>
      <c r="N87" s="22">
        <v>10.92</v>
      </c>
      <c r="O87" s="22"/>
      <c r="P87" s="22"/>
      <c r="Q87" s="22"/>
      <c r="R87" s="22"/>
      <c r="S87" s="22"/>
      <c r="T87" s="22"/>
      <c r="U87" s="22"/>
      <c r="V87" s="22"/>
    </row>
    <row r="88" spans="1:22" s="24" customFormat="1" ht="8.25">
      <c r="A88" s="18">
        <f t="shared" si="4"/>
        <v>27.06</v>
      </c>
      <c r="B88" s="19" t="s">
        <v>103</v>
      </c>
      <c r="C88" s="20" t="s">
        <v>14</v>
      </c>
      <c r="D88" s="21">
        <f t="shared" si="5"/>
        <v>27.06</v>
      </c>
      <c r="E88" s="22"/>
      <c r="F88" s="22"/>
      <c r="G88" s="22"/>
      <c r="H88" s="22"/>
      <c r="I88" s="22"/>
      <c r="J88" s="22"/>
      <c r="K88" s="22"/>
      <c r="L88" s="22">
        <v>27.06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s="24" customFormat="1" ht="8.25">
      <c r="A89" s="18">
        <f>SUM(0+D89)</f>
        <v>25.19</v>
      </c>
      <c r="B89" s="19" t="s">
        <v>94</v>
      </c>
      <c r="C89" s="20" t="s">
        <v>7</v>
      </c>
      <c r="D89" s="21">
        <f t="shared" si="5"/>
        <v>25.19</v>
      </c>
      <c r="E89" s="22"/>
      <c r="F89" s="22"/>
      <c r="G89" s="22"/>
      <c r="H89" s="22"/>
      <c r="I89" s="22"/>
      <c r="J89" s="22">
        <v>25.19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24" customFormat="1" ht="8.25">
      <c r="A90" s="18">
        <f t="shared" si="4"/>
        <v>19.72</v>
      </c>
      <c r="B90" s="19" t="s">
        <v>16</v>
      </c>
      <c r="C90" s="20" t="s">
        <v>14</v>
      </c>
      <c r="D90" s="21">
        <f t="shared" si="5"/>
        <v>19.72</v>
      </c>
      <c r="E90" s="22">
        <v>6.86</v>
      </c>
      <c r="F90" s="22"/>
      <c r="G90" s="22"/>
      <c r="H90" s="22"/>
      <c r="I90" s="22"/>
      <c r="J90" s="22"/>
      <c r="K90" s="22"/>
      <c r="L90" s="22">
        <v>6.56</v>
      </c>
      <c r="M90" s="22"/>
      <c r="N90" s="22"/>
      <c r="O90" s="22">
        <v>6.3</v>
      </c>
      <c r="P90" s="22"/>
      <c r="Q90" s="22"/>
      <c r="R90" s="22"/>
      <c r="S90" s="22"/>
      <c r="T90" s="22"/>
      <c r="U90" s="22"/>
      <c r="V90" s="22"/>
    </row>
    <row r="91" spans="1:22" s="24" customFormat="1" ht="8.25">
      <c r="A91" s="18"/>
      <c r="B91" s="44"/>
      <c r="C91" s="15"/>
      <c r="D91" s="37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38"/>
    </row>
    <row r="92" spans="1:22" s="24" customFormat="1" ht="8.25">
      <c r="A92" s="18">
        <f>SUM(0+D92)</f>
        <v>17.67</v>
      </c>
      <c r="B92" s="19" t="s">
        <v>73</v>
      </c>
      <c r="C92" s="20" t="s">
        <v>14</v>
      </c>
      <c r="D92" s="21">
        <f t="shared" si="5"/>
        <v>17.67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>
        <v>17.67</v>
      </c>
    </row>
    <row r="93" spans="1:22" s="24" customFormat="1" ht="8.25">
      <c r="A93" s="18">
        <f t="shared" si="4"/>
        <v>10.71</v>
      </c>
      <c r="B93" s="19" t="s">
        <v>99</v>
      </c>
      <c r="C93" s="20" t="s">
        <v>14</v>
      </c>
      <c r="D93" s="21">
        <f t="shared" si="5"/>
        <v>10.71</v>
      </c>
      <c r="E93" s="21"/>
      <c r="F93" s="21"/>
      <c r="G93" s="21"/>
      <c r="H93" s="21"/>
      <c r="I93" s="21"/>
      <c r="J93" s="21"/>
      <c r="K93" s="21">
        <v>3.33</v>
      </c>
      <c r="L93" s="21">
        <v>7.38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</row>
  </sheetData>
  <sheetProtection password="CC6F" sheet="1" objects="1" scenarios="1"/>
  <printOptions/>
  <pageMargins left="0.31496062992126" right="0" top="0.590551181" bottom="0" header="0.06496063" footer="0.511811023622047"/>
  <pageSetup horizontalDpi="300" verticalDpi="300" orientation="landscape" paperSize="9" r:id="rId1"/>
  <headerFooter alignWithMargins="0">
    <oddHeader>&amp;CRANKING SUDESTE DAS RAÇAS PÔNEI - 2004
RAÇA PÔNEI BRASILEIRO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83"/>
  <sheetViews>
    <sheetView zoomScale="108" zoomScaleNormal="108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140625" style="28" customWidth="1"/>
    <col min="2" max="2" width="20.28125" style="24" customWidth="1"/>
    <col min="3" max="3" width="3.140625" style="5" customWidth="1"/>
    <col min="4" max="4" width="5.421875" style="34" customWidth="1"/>
    <col min="5" max="12" width="7.7109375" style="24" customWidth="1"/>
    <col min="13" max="31" width="6.7109375" style="24" customWidth="1"/>
    <col min="32" max="16384" width="9.140625" style="24" customWidth="1"/>
  </cols>
  <sheetData>
    <row r="1" spans="1:31" s="5" customFormat="1" ht="8.25" customHeight="1">
      <c r="A1" s="1">
        <v>9999</v>
      </c>
      <c r="B1" s="54"/>
      <c r="C1" s="2" t="s">
        <v>4</v>
      </c>
      <c r="D1" s="3" t="s">
        <v>1</v>
      </c>
      <c r="E1" s="3" t="s">
        <v>0</v>
      </c>
      <c r="F1" s="3" t="s">
        <v>236</v>
      </c>
      <c r="G1" s="3" t="s">
        <v>201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  <c r="N1" s="3" t="s">
        <v>255</v>
      </c>
      <c r="O1" s="3" t="s">
        <v>178</v>
      </c>
      <c r="P1" s="3" t="s">
        <v>173</v>
      </c>
      <c r="Q1" s="3" t="s">
        <v>299</v>
      </c>
      <c r="R1" s="3" t="s">
        <v>269</v>
      </c>
      <c r="S1" s="2" t="s">
        <v>48</v>
      </c>
      <c r="T1" s="2" t="s">
        <v>276</v>
      </c>
      <c r="U1" s="2" t="s">
        <v>129</v>
      </c>
      <c r="V1" s="2" t="s">
        <v>131</v>
      </c>
      <c r="W1" s="2" t="s">
        <v>286</v>
      </c>
      <c r="X1" s="2" t="s">
        <v>135</v>
      </c>
      <c r="Y1" s="2" t="s">
        <v>114</v>
      </c>
      <c r="Z1" s="2"/>
      <c r="AA1" s="2"/>
      <c r="AB1" s="2"/>
      <c r="AC1" s="2"/>
      <c r="AD1" s="2"/>
      <c r="AE1" s="2"/>
    </row>
    <row r="2" spans="1:31" s="5" customFormat="1" ht="8.25" customHeight="1">
      <c r="A2" s="1">
        <v>9998</v>
      </c>
      <c r="B2" s="56" t="s">
        <v>31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  <c r="N2" s="8" t="s">
        <v>256</v>
      </c>
      <c r="O2" s="8" t="s">
        <v>260</v>
      </c>
      <c r="P2" s="8" t="s">
        <v>296</v>
      </c>
      <c r="Q2" s="8" t="s">
        <v>300</v>
      </c>
      <c r="R2" s="8" t="s">
        <v>268</v>
      </c>
      <c r="S2" s="8" t="s">
        <v>271</v>
      </c>
      <c r="T2" s="8" t="s">
        <v>277</v>
      </c>
      <c r="U2" s="8" t="s">
        <v>294</v>
      </c>
      <c r="V2" s="8" t="s">
        <v>294</v>
      </c>
      <c r="W2" s="8" t="s">
        <v>287</v>
      </c>
      <c r="X2" s="8" t="s">
        <v>307</v>
      </c>
      <c r="Y2" s="8" t="s">
        <v>305</v>
      </c>
      <c r="Z2" s="8"/>
      <c r="AA2" s="8"/>
      <c r="AB2" s="8"/>
      <c r="AC2" s="8"/>
      <c r="AD2" s="8"/>
      <c r="AE2" s="8"/>
    </row>
    <row r="3" spans="1:31" s="13" customFormat="1" ht="8.25" customHeight="1">
      <c r="A3" s="1">
        <v>9997</v>
      </c>
      <c r="B3" s="55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  <c r="N3" s="11">
        <v>0.38</v>
      </c>
      <c r="O3" s="11">
        <v>0.89</v>
      </c>
      <c r="P3" s="11">
        <v>0.25</v>
      </c>
      <c r="Q3" s="11">
        <v>0.6</v>
      </c>
      <c r="R3" s="11">
        <v>0.22</v>
      </c>
      <c r="S3" s="12">
        <v>0.2</v>
      </c>
      <c r="T3" s="40" t="s">
        <v>278</v>
      </c>
      <c r="U3" s="40" t="s">
        <v>293</v>
      </c>
      <c r="V3" s="40" t="s">
        <v>309</v>
      </c>
      <c r="W3" s="40" t="s">
        <v>288</v>
      </c>
      <c r="X3" s="40" t="s">
        <v>308</v>
      </c>
      <c r="Y3" s="40" t="s">
        <v>306</v>
      </c>
      <c r="Z3" s="40"/>
      <c r="AA3" s="40"/>
      <c r="AB3" s="40"/>
      <c r="AC3" s="40"/>
      <c r="AD3" s="40"/>
      <c r="AE3" s="40"/>
    </row>
    <row r="4" spans="1:31" s="5" customFormat="1" ht="8.25" customHeight="1">
      <c r="A4" s="1">
        <v>9996</v>
      </c>
      <c r="B4" s="41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43"/>
    </row>
    <row r="5" spans="1:31" ht="8.25" customHeight="1">
      <c r="A5" s="18">
        <f>SUM(0+D5)</f>
        <v>2781.44</v>
      </c>
      <c r="B5" s="19" t="s">
        <v>18</v>
      </c>
      <c r="C5" s="20" t="s">
        <v>14</v>
      </c>
      <c r="D5" s="25">
        <f>SUM(E5:AE5)</f>
        <v>2781.44</v>
      </c>
      <c r="E5" s="23">
        <f>168*2.07</f>
        <v>347.76</v>
      </c>
      <c r="F5" s="23">
        <f>89*0.16</f>
        <v>14.24</v>
      </c>
      <c r="G5" s="23">
        <f>554*1.14</f>
        <v>631.56</v>
      </c>
      <c r="H5" s="23"/>
      <c r="I5" s="23">
        <f>124*0.96</f>
        <v>119.03999999999999</v>
      </c>
      <c r="J5" s="25">
        <f>421*1.1</f>
        <v>463.1</v>
      </c>
      <c r="K5" s="25">
        <f>193*0.65</f>
        <v>125.45</v>
      </c>
      <c r="L5" s="25">
        <f>64*0.44</f>
        <v>28.16</v>
      </c>
      <c r="M5" s="25">
        <v>331</v>
      </c>
      <c r="N5" s="23">
        <f>120*0.38</f>
        <v>45.6</v>
      </c>
      <c r="O5" s="23"/>
      <c r="P5" s="23">
        <f>93*0.25</f>
        <v>23.25</v>
      </c>
      <c r="Q5" s="23">
        <f>16*0.6</f>
        <v>9.6</v>
      </c>
      <c r="R5" s="23"/>
      <c r="S5" s="25"/>
      <c r="T5" s="25">
        <f>68*1.2</f>
        <v>81.6</v>
      </c>
      <c r="U5" s="25">
        <f>51*0.13</f>
        <v>6.63</v>
      </c>
      <c r="V5" s="25">
        <f>106*0.91</f>
        <v>96.46000000000001</v>
      </c>
      <c r="W5" s="25">
        <f>109*1.75</f>
        <v>190.75</v>
      </c>
      <c r="X5" s="25">
        <f>235*0.48</f>
        <v>112.8</v>
      </c>
      <c r="Y5" s="25">
        <f>143*1.08</f>
        <v>154.44</v>
      </c>
      <c r="Z5" s="25"/>
      <c r="AA5" s="25"/>
      <c r="AB5" s="25"/>
      <c r="AC5" s="25"/>
      <c r="AD5" s="25"/>
      <c r="AE5" s="25"/>
    </row>
    <row r="6" spans="1:31" ht="8.25" customHeight="1">
      <c r="A6" s="18">
        <f>SUM(0+D6)</f>
        <v>2691.37</v>
      </c>
      <c r="B6" s="19" t="s">
        <v>23</v>
      </c>
      <c r="C6" s="20" t="s">
        <v>24</v>
      </c>
      <c r="D6" s="25">
        <f>SUM(E6:AE6)</f>
        <v>2691.37</v>
      </c>
      <c r="E6" s="23">
        <f>35*2.07</f>
        <v>72.44999999999999</v>
      </c>
      <c r="F6" s="23"/>
      <c r="G6" s="23">
        <f>8*1.14</f>
        <v>9.12</v>
      </c>
      <c r="H6" s="23"/>
      <c r="I6" s="23">
        <f>455*0.96</f>
        <v>436.8</v>
      </c>
      <c r="J6" s="25"/>
      <c r="K6" s="25">
        <f>52*0.65</f>
        <v>33.800000000000004</v>
      </c>
      <c r="L6" s="25"/>
      <c r="M6" s="23"/>
      <c r="N6" s="23"/>
      <c r="O6" s="23"/>
      <c r="P6" s="23"/>
      <c r="Q6" s="23">
        <f>18*0.6</f>
        <v>10.799999999999999</v>
      </c>
      <c r="R6" s="23"/>
      <c r="S6" s="25"/>
      <c r="T6" s="25">
        <f>477*1.2</f>
        <v>572.4</v>
      </c>
      <c r="U6" s="25"/>
      <c r="V6" s="25">
        <f>518*0.91</f>
        <v>471.38</v>
      </c>
      <c r="W6" s="25">
        <f>354*1.75</f>
        <v>619.5</v>
      </c>
      <c r="X6" s="25">
        <f>51*0.48</f>
        <v>24.48</v>
      </c>
      <c r="Y6" s="25">
        <f>408*1.08</f>
        <v>440.64000000000004</v>
      </c>
      <c r="Z6" s="25"/>
      <c r="AA6" s="25"/>
      <c r="AB6" s="25"/>
      <c r="AC6" s="25"/>
      <c r="AD6" s="25"/>
      <c r="AE6" s="25"/>
    </row>
    <row r="7" spans="1:31" ht="8.25" customHeight="1">
      <c r="A7" s="18">
        <f>SUM(0+D7)</f>
        <v>1534.12</v>
      </c>
      <c r="B7" s="19" t="s">
        <v>183</v>
      </c>
      <c r="C7" s="20" t="s">
        <v>7</v>
      </c>
      <c r="D7" s="25">
        <f>SUM(E7:AE7)</f>
        <v>1534.12</v>
      </c>
      <c r="E7" s="23">
        <f>244*2.07</f>
        <v>505.08</v>
      </c>
      <c r="F7" s="23"/>
      <c r="G7" s="23">
        <f>125*1.14</f>
        <v>142.5</v>
      </c>
      <c r="H7" s="23"/>
      <c r="I7" s="23">
        <f>32*0.96</f>
        <v>30.72</v>
      </c>
      <c r="J7" s="25">
        <f>171*1.1</f>
        <v>188.10000000000002</v>
      </c>
      <c r="K7" s="25">
        <f>35*0.65</f>
        <v>22.75</v>
      </c>
      <c r="L7" s="25">
        <f>9*0.44</f>
        <v>3.96</v>
      </c>
      <c r="M7" s="23">
        <v>185</v>
      </c>
      <c r="N7" s="23"/>
      <c r="O7" s="23"/>
      <c r="P7" s="23"/>
      <c r="Q7" s="23">
        <f>43*0.6</f>
        <v>25.8</v>
      </c>
      <c r="R7" s="23"/>
      <c r="S7" s="25"/>
      <c r="T7" s="25"/>
      <c r="U7" s="25">
        <f>43*0.13</f>
        <v>5.59</v>
      </c>
      <c r="V7" s="25">
        <f>7*0.91</f>
        <v>6.37</v>
      </c>
      <c r="W7" s="25">
        <f>239*1.75</f>
        <v>418.25</v>
      </c>
      <c r="X7" s="25"/>
      <c r="Y7" s="25"/>
      <c r="Z7" s="25"/>
      <c r="AA7" s="25"/>
      <c r="AB7" s="25"/>
      <c r="AC7" s="25"/>
      <c r="AD7" s="25"/>
      <c r="AE7" s="25"/>
    </row>
    <row r="8" spans="1:31" ht="8.25" customHeight="1">
      <c r="A8" s="18">
        <f>SUM(0+D8)</f>
        <v>1342.08</v>
      </c>
      <c r="B8" s="19" t="s">
        <v>3</v>
      </c>
      <c r="C8" s="20" t="s">
        <v>7</v>
      </c>
      <c r="D8" s="25">
        <f>SUM(E8:AE8)</f>
        <v>1342.08</v>
      </c>
      <c r="E8" s="23">
        <f>212*2.07</f>
        <v>438.84</v>
      </c>
      <c r="F8" s="23">
        <f>93*0.16</f>
        <v>14.88</v>
      </c>
      <c r="G8" s="23">
        <f>119*1.14</f>
        <v>135.66</v>
      </c>
      <c r="H8" s="23"/>
      <c r="I8" s="23">
        <f>103*0.96</f>
        <v>98.88</v>
      </c>
      <c r="J8" s="25">
        <f>67*1.1</f>
        <v>73.7</v>
      </c>
      <c r="K8" s="25">
        <f>103*0.65</f>
        <v>66.95</v>
      </c>
      <c r="L8" s="25">
        <f>33*0.44</f>
        <v>14.52</v>
      </c>
      <c r="M8" s="23">
        <v>64</v>
      </c>
      <c r="N8" s="23"/>
      <c r="O8" s="23"/>
      <c r="P8" s="23"/>
      <c r="Q8" s="23">
        <f>129*0.6</f>
        <v>77.39999999999999</v>
      </c>
      <c r="R8" s="23"/>
      <c r="S8" s="25"/>
      <c r="T8" s="25">
        <f>30*1.2</f>
        <v>36</v>
      </c>
      <c r="U8" s="25"/>
      <c r="V8" s="25">
        <f>64*0.91</f>
        <v>58.24</v>
      </c>
      <c r="W8" s="25">
        <f>99*1.75</f>
        <v>173.25</v>
      </c>
      <c r="X8" s="25">
        <f>88*0.48</f>
        <v>42.239999999999995</v>
      </c>
      <c r="Y8" s="25">
        <f>44*1.08</f>
        <v>47.52</v>
      </c>
      <c r="Z8" s="25"/>
      <c r="AA8" s="25"/>
      <c r="AB8" s="25"/>
      <c r="AC8" s="25"/>
      <c r="AD8" s="25"/>
      <c r="AE8" s="25"/>
    </row>
    <row r="9" spans="1:31" ht="8.25" customHeight="1">
      <c r="A9" s="18">
        <f>SUM(0+D9)</f>
        <v>1316.05</v>
      </c>
      <c r="B9" s="19" t="s">
        <v>87</v>
      </c>
      <c r="C9" s="20" t="s">
        <v>7</v>
      </c>
      <c r="D9" s="25">
        <f>SUM(E9:AE9)</f>
        <v>1316.05</v>
      </c>
      <c r="E9" s="23">
        <f>138*2.07</f>
        <v>285.65999999999997</v>
      </c>
      <c r="F9" s="23"/>
      <c r="G9" s="23">
        <f>159*1.14</f>
        <v>181.26</v>
      </c>
      <c r="H9" s="23"/>
      <c r="I9" s="23">
        <f>15*0.96</f>
        <v>14.399999999999999</v>
      </c>
      <c r="J9" s="25">
        <f>98*1.1</f>
        <v>107.80000000000001</v>
      </c>
      <c r="K9" s="25">
        <f>64*0.65</f>
        <v>41.6</v>
      </c>
      <c r="L9" s="25"/>
      <c r="M9" s="23">
        <v>137</v>
      </c>
      <c r="N9" s="23"/>
      <c r="O9" s="23"/>
      <c r="P9" s="23"/>
      <c r="Q9" s="23">
        <f>39*0.6</f>
        <v>23.4</v>
      </c>
      <c r="R9" s="23"/>
      <c r="S9" s="25"/>
      <c r="T9" s="25">
        <f>43*1.2</f>
        <v>51.6</v>
      </c>
      <c r="U9" s="25"/>
      <c r="V9" s="25">
        <f>86*0.91</f>
        <v>78.26</v>
      </c>
      <c r="W9" s="25">
        <f>177*1.75</f>
        <v>309.75</v>
      </c>
      <c r="X9" s="25"/>
      <c r="Y9" s="25">
        <f>79*1.08</f>
        <v>85.32000000000001</v>
      </c>
      <c r="Z9" s="25"/>
      <c r="AA9" s="25"/>
      <c r="AB9" s="25"/>
      <c r="AC9" s="25"/>
      <c r="AD9" s="25"/>
      <c r="AE9" s="25"/>
    </row>
    <row r="10" spans="1:31" ht="8.25" customHeight="1">
      <c r="A10" s="18">
        <f>SUM(0+D10)</f>
        <v>1063.5900000000001</v>
      </c>
      <c r="B10" s="19" t="s">
        <v>38</v>
      </c>
      <c r="C10" s="20" t="s">
        <v>37</v>
      </c>
      <c r="D10" s="25">
        <f>SUM(E10:AE10)</f>
        <v>1063.5900000000001</v>
      </c>
      <c r="E10" s="23">
        <f>125*2.07</f>
        <v>258.75</v>
      </c>
      <c r="F10" s="23">
        <f>33*0.16</f>
        <v>5.28</v>
      </c>
      <c r="G10" s="23">
        <f>57*1.14</f>
        <v>64.97999999999999</v>
      </c>
      <c r="H10" s="23"/>
      <c r="I10" s="23"/>
      <c r="J10" s="25">
        <f>94*1.1</f>
        <v>103.4</v>
      </c>
      <c r="K10" s="25">
        <f>108*0.65</f>
        <v>70.2</v>
      </c>
      <c r="L10" s="25">
        <f>354*0.44</f>
        <v>155.76</v>
      </c>
      <c r="M10" s="25">
        <v>148</v>
      </c>
      <c r="N10" s="23">
        <f>43*0.38</f>
        <v>16.34</v>
      </c>
      <c r="O10" s="23"/>
      <c r="P10" s="23">
        <f>33*0.25</f>
        <v>8.25</v>
      </c>
      <c r="Q10" s="23">
        <f>26*0.6</f>
        <v>15.6</v>
      </c>
      <c r="R10" s="23"/>
      <c r="S10" s="25"/>
      <c r="T10" s="25">
        <f>26*1.2</f>
        <v>31.2</v>
      </c>
      <c r="U10" s="25"/>
      <c r="V10" s="25">
        <f>11*0.91</f>
        <v>10.01</v>
      </c>
      <c r="W10" s="25">
        <f>74*1.75</f>
        <v>129.5</v>
      </c>
      <c r="X10" s="25">
        <f>56*0.48</f>
        <v>26.88</v>
      </c>
      <c r="Y10" s="25">
        <f>18*1.08</f>
        <v>19.44</v>
      </c>
      <c r="Z10" s="25"/>
      <c r="AA10" s="25"/>
      <c r="AB10" s="25"/>
      <c r="AC10" s="25"/>
      <c r="AD10" s="25"/>
      <c r="AE10" s="25"/>
    </row>
    <row r="11" spans="1:31" ht="8.25" customHeight="1">
      <c r="A11" s="18">
        <f>SUM(0+D11)</f>
        <v>920.8499999999999</v>
      </c>
      <c r="B11" s="19" t="s">
        <v>186</v>
      </c>
      <c r="C11" s="20" t="s">
        <v>7</v>
      </c>
      <c r="D11" s="25">
        <f>SUM(E11:AE11)</f>
        <v>920.8499999999999</v>
      </c>
      <c r="E11" s="23">
        <f>227*2.07</f>
        <v>469.89</v>
      </c>
      <c r="F11" s="23"/>
      <c r="G11" s="23">
        <f>189*1.14</f>
        <v>215.45999999999998</v>
      </c>
      <c r="H11" s="23"/>
      <c r="I11" s="23">
        <f>15*0.96</f>
        <v>14.399999999999999</v>
      </c>
      <c r="J11" s="25">
        <f>81*1.1</f>
        <v>89.10000000000001</v>
      </c>
      <c r="K11" s="25"/>
      <c r="L11" s="25"/>
      <c r="M11" s="23">
        <v>97</v>
      </c>
      <c r="N11" s="23"/>
      <c r="O11" s="23"/>
      <c r="P11" s="23"/>
      <c r="Q11" s="23"/>
      <c r="R11" s="23"/>
      <c r="S11" s="25"/>
      <c r="T11" s="25"/>
      <c r="U11" s="25"/>
      <c r="V11" s="25"/>
      <c r="W11" s="25">
        <f>20*1.75</f>
        <v>35</v>
      </c>
      <c r="X11" s="25"/>
      <c r="Y11" s="25"/>
      <c r="Z11" s="25"/>
      <c r="AA11" s="25"/>
      <c r="AB11" s="25"/>
      <c r="AC11" s="25"/>
      <c r="AD11" s="25"/>
      <c r="AE11" s="25"/>
    </row>
    <row r="12" spans="1:31" ht="8.25" customHeight="1">
      <c r="A12" s="18">
        <f>SUM(0+D12)</f>
        <v>896.9699999999998</v>
      </c>
      <c r="B12" s="19" t="s">
        <v>144</v>
      </c>
      <c r="C12" s="20" t="s">
        <v>14</v>
      </c>
      <c r="D12" s="25">
        <f>SUM(E12:AE12)</f>
        <v>896.9699999999998</v>
      </c>
      <c r="E12" s="23">
        <f>69*2.07</f>
        <v>142.82999999999998</v>
      </c>
      <c r="F12" s="23"/>
      <c r="G12" s="23">
        <f>76*1.14</f>
        <v>86.63999999999999</v>
      </c>
      <c r="H12" s="23"/>
      <c r="I12" s="23">
        <f>107*0.96</f>
        <v>102.72</v>
      </c>
      <c r="J12" s="25">
        <f>29*1.1</f>
        <v>31.900000000000002</v>
      </c>
      <c r="K12" s="25">
        <f>68*0.65</f>
        <v>44.2</v>
      </c>
      <c r="L12" s="25">
        <f>48*0.44</f>
        <v>21.12</v>
      </c>
      <c r="M12" s="25">
        <v>47</v>
      </c>
      <c r="N12" s="23">
        <f>29*0.38</f>
        <v>11.02</v>
      </c>
      <c r="O12" s="23">
        <f>44*0.89</f>
        <v>39.160000000000004</v>
      </c>
      <c r="P12" s="23"/>
      <c r="Q12" s="23">
        <f>70*0.6</f>
        <v>42</v>
      </c>
      <c r="R12" s="23"/>
      <c r="S12" s="25"/>
      <c r="T12" s="25">
        <f>57*1.2</f>
        <v>68.39999999999999</v>
      </c>
      <c r="U12" s="25">
        <f>36*0.13</f>
        <v>4.68</v>
      </c>
      <c r="V12" s="25">
        <f>48*0.91</f>
        <v>43.68</v>
      </c>
      <c r="W12" s="25">
        <f>66*1.75</f>
        <v>115.5</v>
      </c>
      <c r="X12" s="25"/>
      <c r="Y12" s="25">
        <f>89*1.08</f>
        <v>96.12</v>
      </c>
      <c r="Z12" s="25"/>
      <c r="AA12" s="25"/>
      <c r="AB12" s="25"/>
      <c r="AC12" s="25"/>
      <c r="AD12" s="25"/>
      <c r="AE12" s="25"/>
    </row>
    <row r="13" spans="1:31" ht="8.25" customHeight="1">
      <c r="A13" s="18">
        <f>SUM(0+D13)</f>
        <v>874.47</v>
      </c>
      <c r="B13" s="19" t="s">
        <v>180</v>
      </c>
      <c r="C13" s="20" t="s">
        <v>21</v>
      </c>
      <c r="D13" s="25">
        <f>SUM(E13:AE13)</f>
        <v>874.47</v>
      </c>
      <c r="E13" s="23">
        <f>44*2.07</f>
        <v>91.08</v>
      </c>
      <c r="F13" s="23"/>
      <c r="G13" s="23"/>
      <c r="H13" s="23"/>
      <c r="I13" s="23">
        <f>187*0.96</f>
        <v>179.51999999999998</v>
      </c>
      <c r="J13" s="25"/>
      <c r="K13" s="25"/>
      <c r="L13" s="25"/>
      <c r="M13" s="25"/>
      <c r="N13" s="23"/>
      <c r="O13" s="23"/>
      <c r="P13" s="23"/>
      <c r="Q13" s="23">
        <f>28*0.6</f>
        <v>16.8</v>
      </c>
      <c r="R13" s="23"/>
      <c r="S13" s="25"/>
      <c r="T13" s="25">
        <f>128*1.2</f>
        <v>153.6</v>
      </c>
      <c r="U13" s="25">
        <f>49*0.13</f>
        <v>6.37</v>
      </c>
      <c r="V13" s="25">
        <f>110*0.91</f>
        <v>100.10000000000001</v>
      </c>
      <c r="W13" s="25">
        <f>48*1.75</f>
        <v>84</v>
      </c>
      <c r="X13" s="25"/>
      <c r="Y13" s="25">
        <f>225*1.08</f>
        <v>243.00000000000003</v>
      </c>
      <c r="Z13" s="25"/>
      <c r="AA13" s="25"/>
      <c r="AB13" s="25"/>
      <c r="AC13" s="25"/>
      <c r="AD13" s="25"/>
      <c r="AE13" s="25"/>
    </row>
    <row r="14" spans="1:31" ht="8.25" customHeight="1">
      <c r="A14" s="18">
        <f>SUM(0+D14)</f>
        <v>854.3600000000001</v>
      </c>
      <c r="B14" s="19" t="s">
        <v>182</v>
      </c>
      <c r="C14" s="20" t="s">
        <v>14</v>
      </c>
      <c r="D14" s="25">
        <f>SUM(E14:AE14)</f>
        <v>854.3600000000001</v>
      </c>
      <c r="E14" s="23">
        <f>77*2.07</f>
        <v>159.39</v>
      </c>
      <c r="F14" s="23"/>
      <c r="G14" s="23">
        <f>55*1.14</f>
        <v>62.699999999999996</v>
      </c>
      <c r="H14" s="23"/>
      <c r="I14" s="23">
        <f>69*0.96</f>
        <v>66.24</v>
      </c>
      <c r="J14" s="25">
        <f>18*1.1</f>
        <v>19.8</v>
      </c>
      <c r="K14" s="25">
        <f>77*0.65</f>
        <v>50.050000000000004</v>
      </c>
      <c r="L14" s="25">
        <f>9*0.44</f>
        <v>3.96</v>
      </c>
      <c r="M14" s="25">
        <v>8</v>
      </c>
      <c r="N14" s="23"/>
      <c r="O14" s="23"/>
      <c r="P14" s="23"/>
      <c r="Q14" s="23">
        <f>111*0.6</f>
        <v>66.6</v>
      </c>
      <c r="R14" s="23"/>
      <c r="S14" s="25"/>
      <c r="T14" s="25">
        <f>73*1.2</f>
        <v>87.6</v>
      </c>
      <c r="U14" s="25"/>
      <c r="V14" s="25">
        <f>103*0.91</f>
        <v>93.73</v>
      </c>
      <c r="W14" s="25">
        <f>55*1.75</f>
        <v>96.25</v>
      </c>
      <c r="X14" s="25">
        <f>96*0.48</f>
        <v>46.08</v>
      </c>
      <c r="Y14" s="25">
        <f>87*1.08</f>
        <v>93.96000000000001</v>
      </c>
      <c r="Z14" s="25"/>
      <c r="AA14" s="25"/>
      <c r="AB14" s="25"/>
      <c r="AC14" s="25"/>
      <c r="AD14" s="25"/>
      <c r="AE14" s="25"/>
    </row>
    <row r="15" spans="1:31" ht="8.25" customHeight="1">
      <c r="A15" s="18">
        <f>SUM(0+D15)</f>
        <v>836.45</v>
      </c>
      <c r="B15" s="19" t="s">
        <v>73</v>
      </c>
      <c r="C15" s="20" t="s">
        <v>14</v>
      </c>
      <c r="D15" s="25">
        <f>SUM(E15:AE15)</f>
        <v>836.45</v>
      </c>
      <c r="E15" s="23"/>
      <c r="F15" s="23"/>
      <c r="G15" s="23">
        <f>61*1.14</f>
        <v>69.53999999999999</v>
      </c>
      <c r="H15" s="23"/>
      <c r="I15" s="23">
        <f>73*0.96</f>
        <v>70.08</v>
      </c>
      <c r="J15" s="25"/>
      <c r="K15" s="25">
        <f>101*0.65</f>
        <v>65.65</v>
      </c>
      <c r="L15" s="25"/>
      <c r="M15" s="25"/>
      <c r="N15" s="23"/>
      <c r="O15" s="23"/>
      <c r="P15" s="23"/>
      <c r="Q15" s="23">
        <f>104*0.6</f>
        <v>62.4</v>
      </c>
      <c r="R15" s="23"/>
      <c r="S15" s="25"/>
      <c r="T15" s="25">
        <f>101*1.2</f>
        <v>121.19999999999999</v>
      </c>
      <c r="U15" s="25"/>
      <c r="V15" s="25">
        <f>131*0.91</f>
        <v>119.21000000000001</v>
      </c>
      <c r="W15" s="25">
        <f>107*1.75</f>
        <v>187.25</v>
      </c>
      <c r="X15" s="25">
        <f>51*0.48</f>
        <v>24.48</v>
      </c>
      <c r="Y15" s="25">
        <f>108*1.08</f>
        <v>116.64000000000001</v>
      </c>
      <c r="Z15" s="25"/>
      <c r="AA15" s="25"/>
      <c r="AB15" s="25"/>
      <c r="AC15" s="25"/>
      <c r="AD15" s="25"/>
      <c r="AE15" s="25"/>
    </row>
    <row r="16" spans="1:31" ht="8.25" customHeight="1">
      <c r="A16" s="18">
        <f>SUM(0+D16)</f>
        <v>508.95000000000005</v>
      </c>
      <c r="B16" s="19" t="s">
        <v>67</v>
      </c>
      <c r="C16" s="20" t="s">
        <v>17</v>
      </c>
      <c r="D16" s="25">
        <f>SUM(E16:AE16)</f>
        <v>508.95000000000005</v>
      </c>
      <c r="E16" s="25"/>
      <c r="F16" s="23"/>
      <c r="G16" s="23"/>
      <c r="H16" s="23">
        <f>608*0.27</f>
        <v>164.16000000000003</v>
      </c>
      <c r="I16" s="23"/>
      <c r="J16" s="25"/>
      <c r="K16" s="25"/>
      <c r="L16" s="25"/>
      <c r="M16" s="25">
        <v>73</v>
      </c>
      <c r="N16" s="23"/>
      <c r="O16" s="23">
        <f>141*0.89</f>
        <v>125.49</v>
      </c>
      <c r="P16" s="23"/>
      <c r="Q16" s="23"/>
      <c r="R16" s="23">
        <f>585*0.22</f>
        <v>128.7</v>
      </c>
      <c r="S16" s="25"/>
      <c r="T16" s="25">
        <f>3*1.2</f>
        <v>3.5999999999999996</v>
      </c>
      <c r="U16" s="25"/>
      <c r="V16" s="25"/>
      <c r="W16" s="25">
        <f>8*1.75</f>
        <v>14</v>
      </c>
      <c r="X16" s="25"/>
      <c r="Y16" s="25"/>
      <c r="Z16" s="25"/>
      <c r="AA16" s="25"/>
      <c r="AB16" s="25"/>
      <c r="AC16" s="25"/>
      <c r="AD16" s="25"/>
      <c r="AE16" s="25"/>
    </row>
    <row r="17" spans="1:31" ht="8.25" customHeight="1">
      <c r="A17" s="18">
        <f>SUM(0+D17)</f>
        <v>447.5</v>
      </c>
      <c r="B17" s="19" t="s">
        <v>42</v>
      </c>
      <c r="C17" s="20" t="s">
        <v>17</v>
      </c>
      <c r="D17" s="25">
        <f>SUM(E17:AE17)</f>
        <v>447.5</v>
      </c>
      <c r="E17" s="23">
        <f>16*2.07</f>
        <v>33.12</v>
      </c>
      <c r="F17" s="23">
        <f>37*0.16</f>
        <v>5.92</v>
      </c>
      <c r="G17" s="23"/>
      <c r="H17" s="23">
        <f>58*0.27</f>
        <v>15.66</v>
      </c>
      <c r="I17" s="23"/>
      <c r="J17" s="25">
        <f>11*1.1</f>
        <v>12.100000000000001</v>
      </c>
      <c r="K17" s="25"/>
      <c r="L17" s="25">
        <f>9*0.44</f>
        <v>3.96</v>
      </c>
      <c r="M17" s="25"/>
      <c r="N17" s="23">
        <f>78*0.38</f>
        <v>29.64</v>
      </c>
      <c r="O17" s="23">
        <f>180*0.89</f>
        <v>160.2</v>
      </c>
      <c r="P17" s="23">
        <f>103*0.25</f>
        <v>25.75</v>
      </c>
      <c r="Q17" s="23">
        <f>43*0.6</f>
        <v>25.8</v>
      </c>
      <c r="R17" s="23"/>
      <c r="S17" s="25">
        <f>58*0.2</f>
        <v>11.600000000000001</v>
      </c>
      <c r="T17" s="25">
        <f>15*1.2</f>
        <v>18</v>
      </c>
      <c r="U17" s="25">
        <f>56*0.13</f>
        <v>7.28</v>
      </c>
      <c r="V17" s="25">
        <f>9*0.91</f>
        <v>8.19</v>
      </c>
      <c r="W17" s="25">
        <f>28*1.75</f>
        <v>49</v>
      </c>
      <c r="X17" s="19">
        <f>86*0.48</f>
        <v>41.28</v>
      </c>
      <c r="Y17" s="19"/>
      <c r="Z17" s="19"/>
      <c r="AA17" s="19"/>
      <c r="AB17" s="19"/>
      <c r="AC17" s="19"/>
      <c r="AD17" s="19"/>
      <c r="AE17" s="19"/>
    </row>
    <row r="18" spans="1:31" ht="8.25" customHeight="1">
      <c r="A18" s="18">
        <f>SUM(0+D18)</f>
        <v>436.45</v>
      </c>
      <c r="B18" s="19" t="s">
        <v>229</v>
      </c>
      <c r="C18" s="20" t="s">
        <v>24</v>
      </c>
      <c r="D18" s="25">
        <f>SUM(E18:AE18)</f>
        <v>436.45</v>
      </c>
      <c r="E18" s="25"/>
      <c r="F18" s="23"/>
      <c r="G18" s="25"/>
      <c r="H18" s="23"/>
      <c r="I18" s="23">
        <f>82*0.96</f>
        <v>78.72</v>
      </c>
      <c r="J18" s="25"/>
      <c r="K18" s="25"/>
      <c r="L18" s="25"/>
      <c r="M18" s="25"/>
      <c r="N18" s="23"/>
      <c r="O18" s="23"/>
      <c r="P18" s="23"/>
      <c r="Q18" s="23"/>
      <c r="R18" s="23"/>
      <c r="S18" s="25"/>
      <c r="T18" s="25">
        <f>133*1.2</f>
        <v>159.6</v>
      </c>
      <c r="U18" s="25"/>
      <c r="V18" s="25">
        <f>77*0.91</f>
        <v>70.07000000000001</v>
      </c>
      <c r="W18" s="25">
        <f>38*1.75</f>
        <v>66.5</v>
      </c>
      <c r="X18" s="25"/>
      <c r="Y18" s="25">
        <f>57*1.08</f>
        <v>61.56</v>
      </c>
      <c r="Z18" s="25"/>
      <c r="AA18" s="25"/>
      <c r="AB18" s="25"/>
      <c r="AC18" s="25"/>
      <c r="AD18" s="25"/>
      <c r="AE18" s="25"/>
    </row>
    <row r="19" spans="1:31" ht="8.25" customHeight="1">
      <c r="A19" s="18">
        <f>SUM(0+D19)</f>
        <v>396.35</v>
      </c>
      <c r="B19" s="19" t="s">
        <v>79</v>
      </c>
      <c r="C19" s="20" t="s">
        <v>5</v>
      </c>
      <c r="D19" s="25">
        <f>SUM(E19:AE19)</f>
        <v>396.35</v>
      </c>
      <c r="E19" s="23">
        <f>85*2.07</f>
        <v>175.95</v>
      </c>
      <c r="F19" s="23"/>
      <c r="G19" s="23"/>
      <c r="H19" s="23"/>
      <c r="I19" s="23"/>
      <c r="J19" s="25"/>
      <c r="K19" s="25"/>
      <c r="L19" s="25"/>
      <c r="M19" s="23"/>
      <c r="N19" s="23">
        <f>214*0.38</f>
        <v>81.32000000000001</v>
      </c>
      <c r="O19" s="23"/>
      <c r="P19" s="23">
        <f>47*0.25</f>
        <v>11.75</v>
      </c>
      <c r="Q19" s="23">
        <f>62*0.6</f>
        <v>37.199999999999996</v>
      </c>
      <c r="R19" s="23"/>
      <c r="S19" s="25"/>
      <c r="T19" s="25"/>
      <c r="U19" s="25">
        <f>58*0.13</f>
        <v>7.54</v>
      </c>
      <c r="V19" s="25"/>
      <c r="W19" s="25">
        <f>9*1.75</f>
        <v>15.75</v>
      </c>
      <c r="X19" s="25">
        <f>119*0.48</f>
        <v>57.12</v>
      </c>
      <c r="Y19" s="25">
        <f>9*1.08</f>
        <v>9.72</v>
      </c>
      <c r="Z19" s="25"/>
      <c r="AA19" s="25"/>
      <c r="AB19" s="25"/>
      <c r="AC19" s="25"/>
      <c r="AD19" s="25"/>
      <c r="AE19" s="25"/>
    </row>
    <row r="20" spans="1:31" ht="8.25" customHeight="1">
      <c r="A20" s="18">
        <f>SUM(0+D20)</f>
        <v>387.79</v>
      </c>
      <c r="B20" s="19" t="s">
        <v>49</v>
      </c>
      <c r="C20" s="20" t="s">
        <v>35</v>
      </c>
      <c r="D20" s="25">
        <f>SUM(E20:AE20)</f>
        <v>387.79</v>
      </c>
      <c r="E20" s="23">
        <f>44*2.07</f>
        <v>91.08</v>
      </c>
      <c r="F20" s="23">
        <f>82*0.16</f>
        <v>13.120000000000001</v>
      </c>
      <c r="G20" s="23"/>
      <c r="H20" s="23"/>
      <c r="I20" s="23"/>
      <c r="J20" s="25"/>
      <c r="K20" s="25"/>
      <c r="L20" s="25"/>
      <c r="M20" s="23"/>
      <c r="N20" s="23">
        <f>71*0.38</f>
        <v>26.98</v>
      </c>
      <c r="O20" s="23"/>
      <c r="P20" s="23">
        <f>66*0.25</f>
        <v>16.5</v>
      </c>
      <c r="Q20" s="23">
        <f>223*0.6</f>
        <v>133.79999999999998</v>
      </c>
      <c r="R20" s="23"/>
      <c r="S20" s="25"/>
      <c r="T20" s="25"/>
      <c r="U20" s="25">
        <f>129*0.13</f>
        <v>16.77</v>
      </c>
      <c r="V20" s="25"/>
      <c r="W20" s="25">
        <f>38*1.75</f>
        <v>66.5</v>
      </c>
      <c r="X20" s="25">
        <f>48*0.48</f>
        <v>23.04</v>
      </c>
      <c r="Y20" s="25"/>
      <c r="Z20" s="25"/>
      <c r="AA20" s="25"/>
      <c r="AB20" s="25"/>
      <c r="AC20" s="25"/>
      <c r="AD20" s="25"/>
      <c r="AE20" s="25"/>
    </row>
    <row r="21" spans="1:31" ht="8.25" customHeight="1">
      <c r="A21" s="18">
        <f>SUM(0+D21)</f>
        <v>345.19</v>
      </c>
      <c r="B21" s="19" t="s">
        <v>194</v>
      </c>
      <c r="C21" s="20" t="s">
        <v>21</v>
      </c>
      <c r="D21" s="25">
        <f>SUM(E21:AE21)</f>
        <v>345.19</v>
      </c>
      <c r="E21" s="23">
        <f>24*2.07</f>
        <v>49.67999999999999</v>
      </c>
      <c r="F21" s="23"/>
      <c r="G21" s="23"/>
      <c r="H21" s="23"/>
      <c r="I21" s="23">
        <f>13*0.96</f>
        <v>12.48</v>
      </c>
      <c r="J21" s="25"/>
      <c r="K21" s="25">
        <f>44*0.65</f>
        <v>28.6</v>
      </c>
      <c r="L21" s="25"/>
      <c r="M21" s="23"/>
      <c r="N21" s="23"/>
      <c r="O21" s="23"/>
      <c r="P21" s="23"/>
      <c r="Q21" s="23">
        <f>8*0.6</f>
        <v>4.8</v>
      </c>
      <c r="R21" s="23"/>
      <c r="S21" s="25"/>
      <c r="T21" s="25">
        <f>34*1.2</f>
        <v>40.8</v>
      </c>
      <c r="U21" s="25"/>
      <c r="V21" s="25">
        <f>77*0.91</f>
        <v>70.07000000000001</v>
      </c>
      <c r="W21" s="25">
        <f>40*1.75</f>
        <v>70</v>
      </c>
      <c r="X21" s="25">
        <f>33*0.48</f>
        <v>15.84</v>
      </c>
      <c r="Y21" s="25">
        <f>49*1.08</f>
        <v>52.92</v>
      </c>
      <c r="Z21" s="25"/>
      <c r="AA21" s="25"/>
      <c r="AB21" s="25"/>
      <c r="AC21" s="25"/>
      <c r="AD21" s="25"/>
      <c r="AE21" s="25"/>
    </row>
    <row r="22" spans="1:31" ht="8.25" customHeight="1">
      <c r="A22" s="18">
        <f>SUM(0+D22)</f>
        <v>339.02</v>
      </c>
      <c r="B22" s="19" t="s">
        <v>59</v>
      </c>
      <c r="C22" s="20" t="s">
        <v>9</v>
      </c>
      <c r="D22" s="25">
        <f>SUM(E22:AE22)</f>
        <v>339.02</v>
      </c>
      <c r="E22" s="23">
        <f>38*2.07</f>
        <v>78.66</v>
      </c>
      <c r="F22" s="23"/>
      <c r="G22" s="23"/>
      <c r="H22" s="23"/>
      <c r="I22" s="23">
        <f>56*0.96</f>
        <v>53.76</v>
      </c>
      <c r="J22" s="25"/>
      <c r="K22" s="25"/>
      <c r="L22" s="25"/>
      <c r="M22" s="23"/>
      <c r="N22" s="23"/>
      <c r="O22" s="23"/>
      <c r="P22" s="23"/>
      <c r="Q22" s="23"/>
      <c r="R22" s="23"/>
      <c r="S22" s="25"/>
      <c r="T22" s="25">
        <f>51*1.2</f>
        <v>61.199999999999996</v>
      </c>
      <c r="U22" s="25"/>
      <c r="V22" s="25">
        <f>29*0.91</f>
        <v>26.39</v>
      </c>
      <c r="W22" s="25">
        <f>39*1.75</f>
        <v>68.25</v>
      </c>
      <c r="X22" s="25"/>
      <c r="Y22" s="25">
        <f>47*1.08</f>
        <v>50.760000000000005</v>
      </c>
      <c r="Z22" s="25"/>
      <c r="AA22" s="25"/>
      <c r="AB22" s="25"/>
      <c r="AC22" s="25"/>
      <c r="AD22" s="25"/>
      <c r="AE22" s="25"/>
    </row>
    <row r="23" spans="1:31" ht="8.25" customHeight="1">
      <c r="A23" s="18">
        <f>SUM(0+D23)</f>
        <v>331.67999999999995</v>
      </c>
      <c r="B23" s="19" t="s">
        <v>13</v>
      </c>
      <c r="C23" s="20" t="s">
        <v>9</v>
      </c>
      <c r="D23" s="25">
        <f>SUM(E23:AE23)</f>
        <v>331.67999999999995</v>
      </c>
      <c r="E23" s="23">
        <f>27*2.07</f>
        <v>55.88999999999999</v>
      </c>
      <c r="F23" s="23"/>
      <c r="G23" s="23">
        <f>26*1.14</f>
        <v>29.639999999999997</v>
      </c>
      <c r="H23" s="23"/>
      <c r="I23" s="23">
        <f>26*0.96</f>
        <v>24.96</v>
      </c>
      <c r="J23" s="25"/>
      <c r="K23" s="25">
        <f>30*0.65</f>
        <v>19.5</v>
      </c>
      <c r="L23" s="25"/>
      <c r="M23" s="23"/>
      <c r="N23" s="23">
        <f>9*0.38</f>
        <v>3.42</v>
      </c>
      <c r="O23" s="23"/>
      <c r="P23" s="23">
        <f>41*0.25</f>
        <v>10.25</v>
      </c>
      <c r="Q23" s="23">
        <f>28*0.6</f>
        <v>16.8</v>
      </c>
      <c r="R23" s="23"/>
      <c r="S23" s="25"/>
      <c r="T23" s="25">
        <f>33*1.2</f>
        <v>39.6</v>
      </c>
      <c r="U23" s="25">
        <f>73*0.13</f>
        <v>9.49</v>
      </c>
      <c r="V23" s="25">
        <f>15*0.91</f>
        <v>13.65</v>
      </c>
      <c r="W23" s="25">
        <f>36*1.75</f>
        <v>63</v>
      </c>
      <c r="X23" s="25">
        <f>43*0.48</f>
        <v>20.64</v>
      </c>
      <c r="Y23" s="25">
        <f>23*1.08</f>
        <v>24.840000000000003</v>
      </c>
      <c r="Z23" s="25"/>
      <c r="AA23" s="25"/>
      <c r="AB23" s="25"/>
      <c r="AC23" s="25"/>
      <c r="AD23" s="25"/>
      <c r="AE23" s="25"/>
    </row>
    <row r="24" spans="1:31" ht="8.25" customHeight="1">
      <c r="A24" s="18">
        <f>SUM(0+D24)</f>
        <v>297.45000000000005</v>
      </c>
      <c r="B24" s="19" t="s">
        <v>211</v>
      </c>
      <c r="C24" s="20" t="s">
        <v>14</v>
      </c>
      <c r="D24" s="25">
        <f>SUM(E24:AE24)</f>
        <v>297.45000000000005</v>
      </c>
      <c r="E24" s="19"/>
      <c r="F24" s="23"/>
      <c r="G24" s="23">
        <f>41*1.14</f>
        <v>46.739999999999995</v>
      </c>
      <c r="H24" s="23"/>
      <c r="I24" s="23"/>
      <c r="J24" s="25">
        <f>62*1.1</f>
        <v>68.2</v>
      </c>
      <c r="K24" s="25">
        <f>8*0.65</f>
        <v>5.2</v>
      </c>
      <c r="L24" s="25">
        <f>26*0.44</f>
        <v>11.44</v>
      </c>
      <c r="M24" s="25">
        <v>58</v>
      </c>
      <c r="N24" s="23"/>
      <c r="O24" s="23"/>
      <c r="P24" s="23"/>
      <c r="Q24" s="23"/>
      <c r="R24" s="23"/>
      <c r="S24" s="25"/>
      <c r="T24" s="25"/>
      <c r="U24" s="25"/>
      <c r="V24" s="25">
        <f>7*0.91</f>
        <v>6.37</v>
      </c>
      <c r="W24" s="25">
        <f>58*1.75</f>
        <v>101.5</v>
      </c>
      <c r="X24" s="19"/>
      <c r="Y24" s="19"/>
      <c r="Z24" s="19"/>
      <c r="AA24" s="19"/>
      <c r="AB24" s="19"/>
      <c r="AC24" s="19"/>
      <c r="AD24" s="19"/>
      <c r="AE24" s="19"/>
    </row>
    <row r="25" spans="1:31" ht="8.25" customHeight="1">
      <c r="A25" s="18">
        <f>SUM(0+D25)</f>
        <v>293.75</v>
      </c>
      <c r="B25" s="19" t="s">
        <v>185</v>
      </c>
      <c r="C25" s="20" t="s">
        <v>37</v>
      </c>
      <c r="D25" s="25">
        <f>SUM(E25:AE25)</f>
        <v>293.75</v>
      </c>
      <c r="E25" s="23">
        <f>39*2.07</f>
        <v>80.72999999999999</v>
      </c>
      <c r="F25" s="23"/>
      <c r="G25" s="23">
        <f>8*1.14</f>
        <v>9.12</v>
      </c>
      <c r="H25" s="23"/>
      <c r="I25" s="23"/>
      <c r="J25" s="25">
        <f>155*1.1</f>
        <v>170.5</v>
      </c>
      <c r="K25" s="25"/>
      <c r="L25" s="25"/>
      <c r="M25" s="25"/>
      <c r="N25" s="23"/>
      <c r="O25" s="23"/>
      <c r="P25" s="23"/>
      <c r="Q25" s="23">
        <f>9*0.6</f>
        <v>5.3999999999999995</v>
      </c>
      <c r="R25" s="23"/>
      <c r="S25" s="25"/>
      <c r="T25" s="25"/>
      <c r="U25" s="25"/>
      <c r="V25" s="25"/>
      <c r="W25" s="25">
        <f>16*1.75</f>
        <v>28</v>
      </c>
      <c r="X25" s="25"/>
      <c r="Y25" s="25"/>
      <c r="Z25" s="25"/>
      <c r="AA25" s="25"/>
      <c r="AB25" s="25"/>
      <c r="AC25" s="25"/>
      <c r="AD25" s="25"/>
      <c r="AE25" s="25"/>
    </row>
    <row r="26" spans="1:31" ht="8.25" customHeight="1">
      <c r="A26" s="18">
        <f>SUM(0+D26)</f>
        <v>269.57</v>
      </c>
      <c r="B26" s="19" t="s">
        <v>195</v>
      </c>
      <c r="C26" s="20" t="s">
        <v>21</v>
      </c>
      <c r="D26" s="25">
        <f>SUM(E26:AE26)</f>
        <v>269.57</v>
      </c>
      <c r="E26" s="23">
        <f>18*2.07</f>
        <v>37.26</v>
      </c>
      <c r="F26" s="23"/>
      <c r="G26" s="23"/>
      <c r="H26" s="23"/>
      <c r="I26" s="23">
        <f>33*0.96</f>
        <v>31.68</v>
      </c>
      <c r="J26" s="25"/>
      <c r="K26" s="25">
        <f>43*0.65</f>
        <v>27.95</v>
      </c>
      <c r="L26" s="25"/>
      <c r="M26" s="23"/>
      <c r="N26" s="23"/>
      <c r="O26" s="23"/>
      <c r="P26" s="23"/>
      <c r="Q26" s="23">
        <f>38*0.6</f>
        <v>22.8</v>
      </c>
      <c r="R26" s="23"/>
      <c r="S26" s="25"/>
      <c r="T26" s="25">
        <f>43*1.2</f>
        <v>51.6</v>
      </c>
      <c r="U26" s="25"/>
      <c r="V26" s="25">
        <f>33*0.91</f>
        <v>30.03</v>
      </c>
      <c r="W26" s="25">
        <f>39*1.75</f>
        <v>68.25</v>
      </c>
      <c r="X26" s="25"/>
      <c r="Y26" s="25"/>
      <c r="Z26" s="25"/>
      <c r="AA26" s="25"/>
      <c r="AB26" s="25"/>
      <c r="AC26" s="25"/>
      <c r="AD26" s="25"/>
      <c r="AE26" s="25"/>
    </row>
    <row r="27" spans="1:31" ht="8.25" customHeight="1">
      <c r="A27" s="18">
        <f>SUM(0+D27)</f>
        <v>266.99</v>
      </c>
      <c r="B27" s="19" t="s">
        <v>152</v>
      </c>
      <c r="C27" s="20" t="s">
        <v>37</v>
      </c>
      <c r="D27" s="25">
        <f>SUM(E27:AE27)</f>
        <v>266.99</v>
      </c>
      <c r="E27" s="23">
        <f>13*2.07</f>
        <v>26.909999999999997</v>
      </c>
      <c r="F27" s="23"/>
      <c r="G27" s="23"/>
      <c r="H27" s="23"/>
      <c r="I27" s="23"/>
      <c r="J27" s="25">
        <f>72*1.1</f>
        <v>79.2</v>
      </c>
      <c r="K27" s="25"/>
      <c r="L27" s="25">
        <f>152*0.44</f>
        <v>66.88</v>
      </c>
      <c r="M27" s="23">
        <v>94</v>
      </c>
      <c r="N27" s="23"/>
      <c r="O27" s="23"/>
      <c r="P27" s="23"/>
      <c r="Q27" s="23"/>
      <c r="R27" s="23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8.25" customHeight="1">
      <c r="A28" s="18">
        <f>SUM(0+D28)</f>
        <v>266.04</v>
      </c>
      <c r="B28" s="19" t="s">
        <v>113</v>
      </c>
      <c r="C28" s="20" t="s">
        <v>7</v>
      </c>
      <c r="D28" s="25">
        <f>SUM(E28:AE28)</f>
        <v>266.04</v>
      </c>
      <c r="E28" s="23">
        <f>29*2.07</f>
        <v>60.029999999999994</v>
      </c>
      <c r="F28" s="23">
        <f>39*0.16</f>
        <v>6.24</v>
      </c>
      <c r="G28" s="23"/>
      <c r="H28" s="23"/>
      <c r="I28" s="23">
        <f>7*0.96</f>
        <v>6.72</v>
      </c>
      <c r="J28" s="25">
        <f>35*1.1</f>
        <v>38.5</v>
      </c>
      <c r="K28" s="25">
        <f>8*0.65</f>
        <v>5.2</v>
      </c>
      <c r="L28" s="25">
        <f>74*0.44</f>
        <v>32.56</v>
      </c>
      <c r="M28" s="23">
        <v>20</v>
      </c>
      <c r="N28" s="23">
        <f>36*0.38</f>
        <v>13.68</v>
      </c>
      <c r="O28" s="23"/>
      <c r="P28" s="23"/>
      <c r="Q28" s="23"/>
      <c r="R28" s="23"/>
      <c r="S28" s="25"/>
      <c r="T28" s="25"/>
      <c r="U28" s="25"/>
      <c r="V28" s="25"/>
      <c r="W28" s="25">
        <f>37*1.75</f>
        <v>64.75</v>
      </c>
      <c r="X28" s="25"/>
      <c r="Y28" s="25">
        <f>17*1.08</f>
        <v>18.36</v>
      </c>
      <c r="Z28" s="25"/>
      <c r="AA28" s="25"/>
      <c r="AB28" s="25"/>
      <c r="AC28" s="25"/>
      <c r="AD28" s="25"/>
      <c r="AE28" s="25"/>
    </row>
    <row r="29" spans="1:31" ht="8.25" customHeight="1">
      <c r="A29" s="18">
        <f>SUM(0+D29)</f>
        <v>264.05</v>
      </c>
      <c r="B29" s="19" t="s">
        <v>36</v>
      </c>
      <c r="C29" s="20" t="s">
        <v>17</v>
      </c>
      <c r="D29" s="25">
        <f>SUM(E29:AE29)</f>
        <v>264.05</v>
      </c>
      <c r="E29" s="23">
        <f>33*2.07</f>
        <v>68.30999999999999</v>
      </c>
      <c r="F29" s="23"/>
      <c r="G29" s="23"/>
      <c r="H29" s="23"/>
      <c r="I29" s="23">
        <f>12*0.96</f>
        <v>11.52</v>
      </c>
      <c r="J29" s="25">
        <f>26*1.1</f>
        <v>28.6</v>
      </c>
      <c r="K29" s="25"/>
      <c r="L29" s="25">
        <f>33*0.44</f>
        <v>14.52</v>
      </c>
      <c r="M29" s="25">
        <v>33</v>
      </c>
      <c r="N29" s="23"/>
      <c r="O29" s="23">
        <f>70*0.89</f>
        <v>62.300000000000004</v>
      </c>
      <c r="P29" s="23"/>
      <c r="Q29" s="23"/>
      <c r="R29" s="23"/>
      <c r="S29" s="25">
        <f>43*0.2</f>
        <v>8.6</v>
      </c>
      <c r="T29" s="25"/>
      <c r="U29" s="25"/>
      <c r="V29" s="25"/>
      <c r="W29" s="25">
        <f>12*1.75</f>
        <v>21</v>
      </c>
      <c r="X29" s="25">
        <f>9*0.48</f>
        <v>4.32</v>
      </c>
      <c r="Y29" s="25">
        <f>11*1.08</f>
        <v>11.88</v>
      </c>
      <c r="Z29" s="25"/>
      <c r="AA29" s="25"/>
      <c r="AB29" s="25"/>
      <c r="AC29" s="25"/>
      <c r="AD29" s="25"/>
      <c r="AE29" s="25"/>
    </row>
    <row r="30" spans="1:31" ht="8.25" customHeight="1">
      <c r="A30" s="18">
        <f>SUM(0+D30)</f>
        <v>260.13</v>
      </c>
      <c r="B30" s="19" t="s">
        <v>27</v>
      </c>
      <c r="C30" s="20" t="s">
        <v>17</v>
      </c>
      <c r="D30" s="25">
        <f>SUM(E30:AE30)</f>
        <v>260.13</v>
      </c>
      <c r="E30" s="25"/>
      <c r="F30" s="25"/>
      <c r="G30" s="25"/>
      <c r="H30" s="25"/>
      <c r="I30" s="23"/>
      <c r="J30" s="25"/>
      <c r="K30" s="25">
        <f>11*0.65</f>
        <v>7.15</v>
      </c>
      <c r="L30" s="25"/>
      <c r="M30" s="23"/>
      <c r="N30" s="23"/>
      <c r="O30" s="23">
        <f>273*0.89</f>
        <v>242.97</v>
      </c>
      <c r="P30" s="23"/>
      <c r="Q30" s="23"/>
      <c r="R30" s="23"/>
      <c r="S30" s="25"/>
      <c r="T30" s="25"/>
      <c r="U30" s="25"/>
      <c r="V30" s="25">
        <f>11*0.91</f>
        <v>10.01</v>
      </c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8.25" customHeight="1">
      <c r="A31" s="18">
        <f>SUM(0+D31)</f>
        <v>224.7</v>
      </c>
      <c r="B31" s="19" t="s">
        <v>233</v>
      </c>
      <c r="C31" s="20" t="s">
        <v>14</v>
      </c>
      <c r="D31" s="25">
        <f>SUM(E31:AE31)</f>
        <v>224.7</v>
      </c>
      <c r="E31" s="25"/>
      <c r="F31" s="23"/>
      <c r="G31" s="25"/>
      <c r="H31" s="23"/>
      <c r="I31" s="23">
        <f>53*0.96</f>
        <v>50.879999999999995</v>
      </c>
      <c r="J31" s="25"/>
      <c r="K31" s="25"/>
      <c r="L31" s="25"/>
      <c r="M31" s="25"/>
      <c r="N31" s="23"/>
      <c r="O31" s="23"/>
      <c r="P31" s="23"/>
      <c r="Q31" s="23"/>
      <c r="R31" s="23"/>
      <c r="S31" s="25"/>
      <c r="T31" s="25">
        <f>33*1.2</f>
        <v>39.6</v>
      </c>
      <c r="U31" s="25"/>
      <c r="V31" s="25">
        <f>33*0.91</f>
        <v>30.03</v>
      </c>
      <c r="W31" s="25">
        <f>33*1.75</f>
        <v>57.75</v>
      </c>
      <c r="X31" s="25"/>
      <c r="Y31" s="25">
        <f>43*1.08</f>
        <v>46.440000000000005</v>
      </c>
      <c r="Z31" s="25"/>
      <c r="AA31" s="25"/>
      <c r="AB31" s="25"/>
      <c r="AC31" s="25"/>
      <c r="AD31" s="25"/>
      <c r="AE31" s="25"/>
    </row>
    <row r="32" spans="1:31" ht="8.25" customHeight="1">
      <c r="A32" s="18">
        <f>SUM(0+D32)</f>
        <v>198.39</v>
      </c>
      <c r="B32" s="19" t="s">
        <v>234</v>
      </c>
      <c r="C32" s="20" t="s">
        <v>24</v>
      </c>
      <c r="D32" s="25">
        <f>SUM(E32:AE32)</f>
        <v>198.39</v>
      </c>
      <c r="E32" s="25"/>
      <c r="F32" s="23"/>
      <c r="G32" s="25"/>
      <c r="H32" s="23"/>
      <c r="I32" s="23">
        <f>47*0.96</f>
        <v>45.12</v>
      </c>
      <c r="J32" s="25"/>
      <c r="K32" s="25"/>
      <c r="L32" s="25"/>
      <c r="M32" s="25"/>
      <c r="N32" s="23"/>
      <c r="O32" s="23"/>
      <c r="P32" s="23"/>
      <c r="Q32" s="23"/>
      <c r="R32" s="23"/>
      <c r="S32" s="25"/>
      <c r="T32" s="25">
        <f>74*1.2</f>
        <v>88.8</v>
      </c>
      <c r="U32" s="25"/>
      <c r="V32" s="25">
        <f>42*0.91</f>
        <v>38.22</v>
      </c>
      <c r="W32" s="25">
        <f>15*1.75</f>
        <v>26.25</v>
      </c>
      <c r="X32" s="25"/>
      <c r="Y32" s="25"/>
      <c r="Z32" s="25"/>
      <c r="AA32" s="25"/>
      <c r="AB32" s="25"/>
      <c r="AC32" s="25"/>
      <c r="AD32" s="25"/>
      <c r="AE32" s="25"/>
    </row>
    <row r="33" spans="1:31" ht="8.25" customHeight="1">
      <c r="A33" s="18">
        <f>SUM(0+D33)</f>
        <v>179.92</v>
      </c>
      <c r="B33" s="19" t="s">
        <v>25</v>
      </c>
      <c r="C33" s="20" t="s">
        <v>26</v>
      </c>
      <c r="D33" s="25">
        <f>SUM(E33:AE33)</f>
        <v>179.92</v>
      </c>
      <c r="E33" s="23"/>
      <c r="F33" s="23"/>
      <c r="G33" s="23"/>
      <c r="H33" s="23"/>
      <c r="I33" s="23"/>
      <c r="J33" s="25"/>
      <c r="K33" s="25">
        <f>46*0.65</f>
        <v>29.900000000000002</v>
      </c>
      <c r="L33" s="25"/>
      <c r="M33" s="25"/>
      <c r="N33" s="23"/>
      <c r="O33" s="23"/>
      <c r="P33" s="23"/>
      <c r="Q33" s="23"/>
      <c r="R33" s="23"/>
      <c r="S33" s="25"/>
      <c r="T33" s="25">
        <f>26*1.2</f>
        <v>31.2</v>
      </c>
      <c r="U33" s="25"/>
      <c r="V33" s="25"/>
      <c r="W33" s="25">
        <f>50*1.75</f>
        <v>87.5</v>
      </c>
      <c r="X33" s="25"/>
      <c r="Y33" s="25">
        <f>29*1.08</f>
        <v>31.32</v>
      </c>
      <c r="Z33" s="25"/>
      <c r="AA33" s="25"/>
      <c r="AB33" s="25"/>
      <c r="AC33" s="25"/>
      <c r="AD33" s="25"/>
      <c r="AE33" s="25"/>
    </row>
    <row r="34" spans="1:31" ht="8.25" customHeight="1">
      <c r="A34" s="18">
        <f>SUM(0+D34)</f>
        <v>147.14</v>
      </c>
      <c r="B34" s="19" t="s">
        <v>78</v>
      </c>
      <c r="C34" s="20" t="s">
        <v>7</v>
      </c>
      <c r="D34" s="25">
        <f>SUM(E34:AE34)</f>
        <v>147.14</v>
      </c>
      <c r="E34" s="25"/>
      <c r="F34" s="23"/>
      <c r="G34" s="23">
        <f>26*1.14</f>
        <v>29.639999999999997</v>
      </c>
      <c r="H34" s="23"/>
      <c r="I34" s="23"/>
      <c r="J34" s="25">
        <f>65*1.1</f>
        <v>71.5</v>
      </c>
      <c r="K34" s="25"/>
      <c r="L34" s="25"/>
      <c r="M34" s="23">
        <v>46</v>
      </c>
      <c r="N34" s="23"/>
      <c r="O34" s="23"/>
      <c r="P34" s="23"/>
      <c r="Q34" s="23"/>
      <c r="R34" s="23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ht="8.25" customHeight="1">
      <c r="A35" s="18">
        <f>SUM(0+D35)</f>
        <v>140.04</v>
      </c>
      <c r="B35" s="19" t="s">
        <v>212</v>
      </c>
      <c r="C35" s="20" t="s">
        <v>7</v>
      </c>
      <c r="D35" s="25">
        <f>SUM(E35:AE35)</f>
        <v>140.04</v>
      </c>
      <c r="E35" s="23"/>
      <c r="F35" s="23"/>
      <c r="G35" s="23">
        <f>51*1.14</f>
        <v>58.13999999999999</v>
      </c>
      <c r="H35" s="23"/>
      <c r="I35" s="23"/>
      <c r="J35" s="25">
        <f>39*1.1</f>
        <v>42.900000000000006</v>
      </c>
      <c r="K35" s="25"/>
      <c r="L35" s="25"/>
      <c r="M35" s="25">
        <v>39</v>
      </c>
      <c r="N35" s="23"/>
      <c r="O35" s="23"/>
      <c r="P35" s="23"/>
      <c r="Q35" s="23"/>
      <c r="R35" s="23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ht="8.25" customHeight="1">
      <c r="A36" s="18">
        <f>SUM(0+D36)</f>
        <v>136.78</v>
      </c>
      <c r="B36" s="19" t="s">
        <v>214</v>
      </c>
      <c r="C36" s="20" t="s">
        <v>17</v>
      </c>
      <c r="D36" s="25">
        <f>SUM(E36:AE36)</f>
        <v>136.78</v>
      </c>
      <c r="E36" s="25"/>
      <c r="F36" s="23"/>
      <c r="G36" s="23">
        <f>8*1.14</f>
        <v>9.12</v>
      </c>
      <c r="H36" s="23"/>
      <c r="I36" s="23">
        <f>9*0.96</f>
        <v>8.64</v>
      </c>
      <c r="J36" s="25"/>
      <c r="K36" s="25"/>
      <c r="L36" s="25"/>
      <c r="M36" s="23"/>
      <c r="N36" s="23"/>
      <c r="O36" s="23">
        <f>101*0.89</f>
        <v>89.89</v>
      </c>
      <c r="P36" s="23"/>
      <c r="Q36" s="23"/>
      <c r="R36" s="23"/>
      <c r="S36" s="25"/>
      <c r="T36" s="25">
        <f>8*1.2</f>
        <v>9.6</v>
      </c>
      <c r="U36" s="25"/>
      <c r="V36" s="25">
        <f>8*0.91</f>
        <v>7.28</v>
      </c>
      <c r="W36" s="25">
        <f>7*1.75</f>
        <v>12.25</v>
      </c>
      <c r="X36" s="25"/>
      <c r="Y36" s="25"/>
      <c r="Z36" s="25"/>
      <c r="AA36" s="25"/>
      <c r="AB36" s="25"/>
      <c r="AC36" s="25"/>
      <c r="AD36" s="25"/>
      <c r="AE36" s="25"/>
    </row>
    <row r="37" spans="1:31" ht="8.25" customHeight="1">
      <c r="A37" s="18">
        <f>SUM(0+D37)</f>
        <v>136.17000000000002</v>
      </c>
      <c r="B37" s="19" t="s">
        <v>262</v>
      </c>
      <c r="C37" s="20" t="s">
        <v>17</v>
      </c>
      <c r="D37" s="25">
        <f>SUM(E37:AE37)</f>
        <v>136.17000000000002</v>
      </c>
      <c r="E37" s="25"/>
      <c r="F37" s="25"/>
      <c r="G37" s="25"/>
      <c r="H37" s="25"/>
      <c r="I37" s="25"/>
      <c r="J37" s="25"/>
      <c r="K37" s="25"/>
      <c r="L37" s="25"/>
      <c r="M37" s="25"/>
      <c r="N37" s="23"/>
      <c r="O37" s="23">
        <f>153*0.89</f>
        <v>136.17000000000002</v>
      </c>
      <c r="P37" s="23"/>
      <c r="Q37" s="23"/>
      <c r="R37" s="2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ht="8.25" customHeight="1">
      <c r="A38" s="18">
        <f>SUM(0+D38)</f>
        <v>120.15</v>
      </c>
      <c r="B38" s="19" t="s">
        <v>261</v>
      </c>
      <c r="C38" s="20" t="s">
        <v>17</v>
      </c>
      <c r="D38" s="25">
        <f>SUM(E38:AE38)</f>
        <v>120.15</v>
      </c>
      <c r="E38" s="25"/>
      <c r="F38" s="25"/>
      <c r="G38" s="25"/>
      <c r="H38" s="25"/>
      <c r="I38" s="25"/>
      <c r="J38" s="23"/>
      <c r="K38" s="25"/>
      <c r="L38" s="23"/>
      <c r="M38" s="23"/>
      <c r="N38" s="23"/>
      <c r="O38" s="23">
        <f>135*0.89</f>
        <v>120.15</v>
      </c>
      <c r="P38" s="23"/>
      <c r="Q38" s="23"/>
      <c r="R38" s="23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ht="8.25" customHeight="1">
      <c r="A39" s="18">
        <f>SUM(0+D39)</f>
        <v>100.64</v>
      </c>
      <c r="B39" s="19" t="s">
        <v>238</v>
      </c>
      <c r="C39" s="20" t="s">
        <v>5</v>
      </c>
      <c r="D39" s="25">
        <f>SUM(E39:AE39)</f>
        <v>100.64</v>
      </c>
      <c r="E39" s="25"/>
      <c r="F39" s="23">
        <f>86*0.16</f>
        <v>13.76</v>
      </c>
      <c r="G39" s="25"/>
      <c r="H39" s="25"/>
      <c r="I39" s="23"/>
      <c r="J39" s="25"/>
      <c r="K39" s="25"/>
      <c r="L39" s="25"/>
      <c r="M39" s="25"/>
      <c r="N39" s="23"/>
      <c r="O39" s="23"/>
      <c r="P39" s="23"/>
      <c r="Q39" s="23"/>
      <c r="R39" s="23"/>
      <c r="S39" s="25"/>
      <c r="T39" s="25"/>
      <c r="U39" s="25"/>
      <c r="V39" s="25"/>
      <c r="W39" s="25"/>
      <c r="X39" s="25">
        <f>181*0.48</f>
        <v>86.88</v>
      </c>
      <c r="Y39" s="25"/>
      <c r="Z39" s="25"/>
      <c r="AA39" s="25"/>
      <c r="AB39" s="25"/>
      <c r="AC39" s="25"/>
      <c r="AD39" s="25"/>
      <c r="AE39" s="25"/>
    </row>
    <row r="40" spans="1:31" ht="8.25" customHeight="1">
      <c r="A40" s="18">
        <f>SUM(0+D40)</f>
        <v>99.93</v>
      </c>
      <c r="B40" s="19" t="s">
        <v>153</v>
      </c>
      <c r="C40" s="20" t="s">
        <v>37</v>
      </c>
      <c r="D40" s="25">
        <f>SUM(E40:AE40)</f>
        <v>99.93</v>
      </c>
      <c r="E40" s="23">
        <f>11*2.07</f>
        <v>22.77</v>
      </c>
      <c r="F40" s="23"/>
      <c r="G40" s="23"/>
      <c r="H40" s="23"/>
      <c r="I40" s="23"/>
      <c r="J40" s="25">
        <f>36*1.1</f>
        <v>39.6</v>
      </c>
      <c r="K40" s="25"/>
      <c r="L40" s="25">
        <f>49*0.44</f>
        <v>21.56</v>
      </c>
      <c r="M40" s="25">
        <v>16</v>
      </c>
      <c r="N40" s="23"/>
      <c r="O40" s="23"/>
      <c r="P40" s="23"/>
      <c r="Q40" s="23"/>
      <c r="R40" s="23"/>
      <c r="S40" s="25"/>
      <c r="T40" s="25"/>
      <c r="U40" s="25"/>
      <c r="V40" s="25"/>
      <c r="W40" s="25"/>
      <c r="X40" s="19"/>
      <c r="Y40" s="19"/>
      <c r="Z40" s="19"/>
      <c r="AA40" s="19"/>
      <c r="AB40" s="19"/>
      <c r="AC40" s="19"/>
      <c r="AD40" s="19"/>
      <c r="AE40" s="19"/>
    </row>
    <row r="41" spans="1:31" ht="8.25" customHeight="1">
      <c r="A41" s="18">
        <f>SUM(0+D41)</f>
        <v>99.6</v>
      </c>
      <c r="B41" s="19" t="s">
        <v>279</v>
      </c>
      <c r="C41" s="20" t="s">
        <v>24</v>
      </c>
      <c r="D41" s="25">
        <f>SUM(E41:AE41)</f>
        <v>99.6</v>
      </c>
      <c r="E41" s="25"/>
      <c r="F41" s="25"/>
      <c r="G41" s="25"/>
      <c r="H41" s="25"/>
      <c r="I41" s="25"/>
      <c r="J41" s="25"/>
      <c r="K41" s="25"/>
      <c r="L41" s="25"/>
      <c r="M41" s="25"/>
      <c r="N41" s="23"/>
      <c r="O41" s="23"/>
      <c r="P41" s="23"/>
      <c r="Q41" s="23"/>
      <c r="R41" s="23"/>
      <c r="S41" s="25"/>
      <c r="T41" s="25">
        <f>83*1.2</f>
        <v>99.6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ht="8.25" customHeight="1">
      <c r="A42" s="18">
        <f>SUM(0+D42)</f>
        <v>98.37</v>
      </c>
      <c r="B42" s="19" t="s">
        <v>184</v>
      </c>
      <c r="C42" s="20" t="s">
        <v>17</v>
      </c>
      <c r="D42" s="25">
        <f>SUM(E42:AE42)</f>
        <v>98.37</v>
      </c>
      <c r="E42" s="23">
        <f>14*2.07</f>
        <v>28.979999999999997</v>
      </c>
      <c r="F42" s="23"/>
      <c r="G42" s="23">
        <f>11*1.14</f>
        <v>12.54</v>
      </c>
      <c r="H42" s="23"/>
      <c r="I42" s="23">
        <f>23*0.96</f>
        <v>22.08</v>
      </c>
      <c r="J42" s="25"/>
      <c r="K42" s="25">
        <f>11*0.65</f>
        <v>7.15</v>
      </c>
      <c r="L42" s="25"/>
      <c r="M42" s="25"/>
      <c r="N42" s="23"/>
      <c r="O42" s="23"/>
      <c r="P42" s="23"/>
      <c r="Q42" s="23">
        <f>8*0.6</f>
        <v>4.8</v>
      </c>
      <c r="R42" s="23">
        <f>56*0.22</f>
        <v>12.32</v>
      </c>
      <c r="S42" s="25"/>
      <c r="T42" s="25"/>
      <c r="U42" s="25"/>
      <c r="V42" s="25"/>
      <c r="W42" s="25">
        <f>6*1.75</f>
        <v>10.5</v>
      </c>
      <c r="X42" s="25"/>
      <c r="Y42" s="25"/>
      <c r="Z42" s="25"/>
      <c r="AA42" s="25"/>
      <c r="AB42" s="25"/>
      <c r="AC42" s="25"/>
      <c r="AD42" s="25"/>
      <c r="AE42" s="25"/>
    </row>
    <row r="43" spans="1:31" ht="8.25" customHeight="1">
      <c r="A43" s="18">
        <f>SUM(0+D43)</f>
        <v>97.46000000000001</v>
      </c>
      <c r="B43" s="19" t="s">
        <v>196</v>
      </c>
      <c r="C43" s="20" t="s">
        <v>37</v>
      </c>
      <c r="D43" s="25">
        <f>SUM(E43:AE43)</f>
        <v>97.46000000000001</v>
      </c>
      <c r="E43" s="25"/>
      <c r="F43" s="23"/>
      <c r="G43" s="23"/>
      <c r="H43" s="23"/>
      <c r="I43" s="23"/>
      <c r="J43" s="25">
        <f>7*1.1</f>
        <v>7.700000000000001</v>
      </c>
      <c r="K43" s="25"/>
      <c r="L43" s="25">
        <f>104*0.44</f>
        <v>45.76</v>
      </c>
      <c r="M43" s="25">
        <v>44</v>
      </c>
      <c r="N43" s="23"/>
      <c r="O43" s="23"/>
      <c r="P43" s="23"/>
      <c r="Q43" s="23"/>
      <c r="R43" s="23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ht="8.25" customHeight="1">
      <c r="A44" s="18">
        <f>SUM(0+D44)</f>
        <v>95.23</v>
      </c>
      <c r="B44" s="19" t="s">
        <v>263</v>
      </c>
      <c r="C44" s="20" t="s">
        <v>17</v>
      </c>
      <c r="D44" s="25">
        <f>SUM(E44:AE44)</f>
        <v>95.23</v>
      </c>
      <c r="E44" s="23"/>
      <c r="F44" s="23"/>
      <c r="G44" s="23"/>
      <c r="H44" s="23"/>
      <c r="I44" s="23"/>
      <c r="J44" s="25"/>
      <c r="K44" s="25"/>
      <c r="L44" s="25"/>
      <c r="M44" s="25"/>
      <c r="N44" s="23"/>
      <c r="O44" s="23">
        <f>107*0.89</f>
        <v>95.23</v>
      </c>
      <c r="P44" s="23"/>
      <c r="Q44" s="23"/>
      <c r="R44" s="23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ht="8.25" customHeight="1">
      <c r="A45" s="18">
        <f>SUM(0+D45)</f>
        <v>93.47999999999999</v>
      </c>
      <c r="B45" s="19" t="s">
        <v>39</v>
      </c>
      <c r="C45" s="20" t="s">
        <v>9</v>
      </c>
      <c r="D45" s="25">
        <f>SUM(E45:AE45)</f>
        <v>93.47999999999999</v>
      </c>
      <c r="E45" s="23">
        <f>38*2.07</f>
        <v>78.66</v>
      </c>
      <c r="F45" s="23"/>
      <c r="G45" s="23">
        <f>13*1.14</f>
        <v>14.819999999999999</v>
      </c>
      <c r="H45" s="23"/>
      <c r="I45" s="23"/>
      <c r="J45" s="25"/>
      <c r="K45" s="25"/>
      <c r="L45" s="25"/>
      <c r="M45" s="25"/>
      <c r="N45" s="23"/>
      <c r="O45" s="23"/>
      <c r="P45" s="23"/>
      <c r="Q45" s="23"/>
      <c r="R45" s="23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ht="8.25" customHeight="1">
      <c r="A46" s="18">
        <f>SUM(0+D46)</f>
        <v>90.05999999999999</v>
      </c>
      <c r="B46" s="19" t="s">
        <v>204</v>
      </c>
      <c r="C46" s="20" t="s">
        <v>7</v>
      </c>
      <c r="D46" s="25">
        <f>SUM(E46:AE46)</f>
        <v>90.05999999999999</v>
      </c>
      <c r="E46" s="23"/>
      <c r="F46" s="23"/>
      <c r="G46" s="23">
        <f>79*1.14</f>
        <v>90.05999999999999</v>
      </c>
      <c r="H46" s="23"/>
      <c r="I46" s="23"/>
      <c r="J46" s="25"/>
      <c r="K46" s="25"/>
      <c r="L46" s="25"/>
      <c r="M46" s="23"/>
      <c r="N46" s="23"/>
      <c r="O46" s="23"/>
      <c r="P46" s="23"/>
      <c r="Q46" s="23"/>
      <c r="R46" s="23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ht="8.25" customHeight="1">
      <c r="A47" s="18">
        <f>SUM(0+D47)</f>
        <v>84.07</v>
      </c>
      <c r="B47" s="19" t="s">
        <v>177</v>
      </c>
      <c r="C47" s="20" t="s">
        <v>24</v>
      </c>
      <c r="D47" s="25">
        <f>SUM(E47:AE47)</f>
        <v>84.07</v>
      </c>
      <c r="E47" s="23"/>
      <c r="F47" s="23"/>
      <c r="G47" s="23"/>
      <c r="H47" s="23"/>
      <c r="I47" s="23"/>
      <c r="J47" s="25"/>
      <c r="K47" s="25"/>
      <c r="L47" s="25"/>
      <c r="M47" s="25"/>
      <c r="N47" s="25"/>
      <c r="O47" s="23"/>
      <c r="P47" s="23"/>
      <c r="Q47" s="23"/>
      <c r="R47" s="23"/>
      <c r="S47" s="25"/>
      <c r="T47" s="25">
        <f>35*1.2</f>
        <v>42</v>
      </c>
      <c r="U47" s="25"/>
      <c r="V47" s="25">
        <f>27*0.91</f>
        <v>24.57</v>
      </c>
      <c r="W47" s="25">
        <f>10*1.75</f>
        <v>17.5</v>
      </c>
      <c r="X47" s="25"/>
      <c r="Y47" s="25"/>
      <c r="Z47" s="25"/>
      <c r="AA47" s="25"/>
      <c r="AB47" s="25"/>
      <c r="AC47" s="25"/>
      <c r="AD47" s="25"/>
      <c r="AE47" s="25"/>
    </row>
    <row r="48" spans="1:31" ht="8.25" customHeight="1">
      <c r="A48" s="18">
        <f>SUM(0+D48)</f>
        <v>81.64999999999999</v>
      </c>
      <c r="B48" s="19" t="s">
        <v>141</v>
      </c>
      <c r="C48" s="20" t="s">
        <v>5</v>
      </c>
      <c r="D48" s="25">
        <f>SUM(E48:AE48)</f>
        <v>81.64999999999999</v>
      </c>
      <c r="E48" s="23">
        <f>13*2.07</f>
        <v>26.909999999999997</v>
      </c>
      <c r="F48" s="23">
        <f>33*0.16</f>
        <v>5.28</v>
      </c>
      <c r="G48" s="23"/>
      <c r="H48" s="23"/>
      <c r="I48" s="23"/>
      <c r="J48" s="25"/>
      <c r="K48" s="25"/>
      <c r="L48" s="25"/>
      <c r="M48" s="23"/>
      <c r="N48" s="23">
        <f>60*0.38</f>
        <v>22.8</v>
      </c>
      <c r="O48" s="23"/>
      <c r="P48" s="23">
        <f>74*0.25</f>
        <v>18.5</v>
      </c>
      <c r="Q48" s="23"/>
      <c r="R48" s="23"/>
      <c r="S48" s="25"/>
      <c r="T48" s="25"/>
      <c r="U48" s="25"/>
      <c r="V48" s="25"/>
      <c r="W48" s="25"/>
      <c r="X48" s="25">
        <f>17*0.48</f>
        <v>8.16</v>
      </c>
      <c r="Y48" s="25"/>
      <c r="Z48" s="25"/>
      <c r="AA48" s="25"/>
      <c r="AB48" s="25"/>
      <c r="AC48" s="25"/>
      <c r="AD48" s="25"/>
      <c r="AE48" s="25"/>
    </row>
    <row r="49" spans="1:31" ht="8.25" customHeight="1">
      <c r="A49" s="18">
        <f>SUM(0+D49)</f>
        <v>81.60000000000001</v>
      </c>
      <c r="B49" s="19" t="s">
        <v>249</v>
      </c>
      <c r="C49" s="39" t="s">
        <v>251</v>
      </c>
      <c r="D49" s="25">
        <f>SUM(E49:AE49)</f>
        <v>81.60000000000001</v>
      </c>
      <c r="E49" s="19"/>
      <c r="F49" s="23"/>
      <c r="G49" s="19"/>
      <c r="H49" s="19"/>
      <c r="I49" s="23"/>
      <c r="J49" s="25"/>
      <c r="K49" s="25">
        <f>13*0.65</f>
        <v>8.450000000000001</v>
      </c>
      <c r="L49" s="25"/>
      <c r="M49" s="25"/>
      <c r="N49" s="23"/>
      <c r="O49" s="23"/>
      <c r="P49" s="23"/>
      <c r="Q49" s="23"/>
      <c r="R49" s="23"/>
      <c r="S49" s="25"/>
      <c r="T49" s="25">
        <f>33*1.2</f>
        <v>39.6</v>
      </c>
      <c r="U49" s="25"/>
      <c r="V49" s="25"/>
      <c r="W49" s="25">
        <f>13*1.75</f>
        <v>22.75</v>
      </c>
      <c r="X49" s="19"/>
      <c r="Y49" s="19">
        <f>10*1.08</f>
        <v>10.8</v>
      </c>
      <c r="Z49" s="19"/>
      <c r="AA49" s="19"/>
      <c r="AB49" s="19"/>
      <c r="AC49" s="19"/>
      <c r="AD49" s="19"/>
      <c r="AE49" s="19"/>
    </row>
    <row r="50" spans="1:31" ht="8.25" customHeight="1">
      <c r="A50" s="18">
        <f>SUM(0+D50)</f>
        <v>81.00999999999999</v>
      </c>
      <c r="B50" s="19" t="s">
        <v>257</v>
      </c>
      <c r="C50" s="20" t="s">
        <v>35</v>
      </c>
      <c r="D50" s="25">
        <f>SUM(E50:AE50)</f>
        <v>81.00999999999999</v>
      </c>
      <c r="E50" s="19"/>
      <c r="F50" s="19"/>
      <c r="G50" s="19"/>
      <c r="H50" s="19"/>
      <c r="I50" s="19"/>
      <c r="J50" s="19"/>
      <c r="K50" s="25"/>
      <c r="L50" s="25"/>
      <c r="M50" s="25"/>
      <c r="N50" s="23">
        <f>102*0.38</f>
        <v>38.76</v>
      </c>
      <c r="O50" s="23"/>
      <c r="P50" s="23"/>
      <c r="Q50" s="23">
        <f>50*0.6</f>
        <v>30</v>
      </c>
      <c r="R50" s="23"/>
      <c r="S50" s="25"/>
      <c r="T50" s="25"/>
      <c r="U50" s="25"/>
      <c r="V50" s="25"/>
      <c r="W50" s="25">
        <f>7*1.75</f>
        <v>12.25</v>
      </c>
      <c r="X50" s="19"/>
      <c r="Y50" s="19"/>
      <c r="Z50" s="19"/>
      <c r="AA50" s="19"/>
      <c r="AB50" s="19"/>
      <c r="AC50" s="19"/>
      <c r="AD50" s="19"/>
      <c r="AE50" s="19"/>
    </row>
    <row r="51" spans="1:31" ht="8.25" customHeight="1">
      <c r="A51" s="18">
        <f>SUM(0+D51)</f>
        <v>69.02</v>
      </c>
      <c r="B51" s="19" t="s">
        <v>41</v>
      </c>
      <c r="C51" s="20" t="s">
        <v>14</v>
      </c>
      <c r="D51" s="25">
        <f>SUM(E51:AE51)</f>
        <v>69.02</v>
      </c>
      <c r="E51" s="23">
        <f>26*2.07</f>
        <v>53.81999999999999</v>
      </c>
      <c r="F51" s="23"/>
      <c r="G51" s="23"/>
      <c r="H51" s="23"/>
      <c r="I51" s="23"/>
      <c r="J51" s="25"/>
      <c r="K51" s="25"/>
      <c r="L51" s="25"/>
      <c r="M51" s="23"/>
      <c r="N51" s="23">
        <f>9*0.38</f>
        <v>3.42</v>
      </c>
      <c r="O51" s="23"/>
      <c r="P51" s="23">
        <f>26*0.25</f>
        <v>6.5</v>
      </c>
      <c r="Q51" s="23"/>
      <c r="R51" s="23"/>
      <c r="S51" s="25"/>
      <c r="T51" s="25"/>
      <c r="U51" s="25"/>
      <c r="V51" s="25"/>
      <c r="W51" s="25"/>
      <c r="X51" s="25">
        <f>11*0.48</f>
        <v>5.279999999999999</v>
      </c>
      <c r="Y51" s="25"/>
      <c r="Z51" s="25"/>
      <c r="AA51" s="25"/>
      <c r="AB51" s="25"/>
      <c r="AC51" s="25"/>
      <c r="AD51" s="25"/>
      <c r="AE51" s="25"/>
    </row>
    <row r="52" spans="1:31" ht="8.25" customHeight="1">
      <c r="A52" s="18">
        <f>SUM(0+D52)</f>
        <v>66.23</v>
      </c>
      <c r="B52" s="19" t="s">
        <v>216</v>
      </c>
      <c r="C52" s="20" t="s">
        <v>14</v>
      </c>
      <c r="D52" s="25">
        <f>SUM(E52:AE52)</f>
        <v>66.23</v>
      </c>
      <c r="E52" s="25"/>
      <c r="F52" s="23"/>
      <c r="G52" s="23"/>
      <c r="H52" s="23"/>
      <c r="I52" s="23"/>
      <c r="J52" s="25">
        <f>40*1.1</f>
        <v>44</v>
      </c>
      <c r="K52" s="25"/>
      <c r="L52" s="25"/>
      <c r="M52" s="25"/>
      <c r="N52" s="23"/>
      <c r="O52" s="23"/>
      <c r="P52" s="23"/>
      <c r="Q52" s="23"/>
      <c r="R52" s="23"/>
      <c r="S52" s="25"/>
      <c r="T52" s="25"/>
      <c r="U52" s="25"/>
      <c r="V52" s="25"/>
      <c r="W52" s="25">
        <f>9*1.75</f>
        <v>15.75</v>
      </c>
      <c r="X52" s="25"/>
      <c r="Y52" s="25">
        <f>6*1.08</f>
        <v>6.48</v>
      </c>
      <c r="Z52" s="25"/>
      <c r="AA52" s="25"/>
      <c r="AB52" s="25"/>
      <c r="AC52" s="25"/>
      <c r="AD52" s="25"/>
      <c r="AE52" s="25"/>
    </row>
    <row r="53" spans="1:31" ht="8.25" customHeight="1">
      <c r="A53" s="18">
        <f>SUM(0+D53)</f>
        <v>63.31</v>
      </c>
      <c r="B53" s="19" t="s">
        <v>20</v>
      </c>
      <c r="C53" s="20" t="s">
        <v>17</v>
      </c>
      <c r="D53" s="25">
        <f>SUM(E53:AE53)</f>
        <v>63.31</v>
      </c>
      <c r="E53" s="23">
        <f>7*2.07</f>
        <v>14.489999999999998</v>
      </c>
      <c r="F53" s="23">
        <f>51*0.16</f>
        <v>8.16</v>
      </c>
      <c r="G53" s="23"/>
      <c r="H53" s="23"/>
      <c r="I53" s="23"/>
      <c r="J53" s="25"/>
      <c r="K53" s="25">
        <f>9*0.65</f>
        <v>5.8500000000000005</v>
      </c>
      <c r="L53" s="25"/>
      <c r="M53" s="23"/>
      <c r="N53" s="23">
        <f>37*0.38</f>
        <v>14.06</v>
      </c>
      <c r="O53" s="23"/>
      <c r="P53" s="23">
        <f>83*0.25</f>
        <v>20.75</v>
      </c>
      <c r="Q53" s="23"/>
      <c r="R53" s="23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ht="8.25" customHeight="1">
      <c r="A54" s="18">
        <f>SUM(0+D54)</f>
        <v>60.269999999999996</v>
      </c>
      <c r="B54" s="19" t="s">
        <v>284</v>
      </c>
      <c r="C54" s="20" t="s">
        <v>14</v>
      </c>
      <c r="D54" s="25">
        <f>SUM(E54:AE54)</f>
        <v>60.269999999999996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5"/>
      <c r="T54" s="25">
        <f>11*1.2</f>
        <v>13.2</v>
      </c>
      <c r="U54" s="25"/>
      <c r="V54" s="25"/>
      <c r="W54" s="25">
        <f>9*1.75</f>
        <v>15.75</v>
      </c>
      <c r="X54" s="25"/>
      <c r="Y54" s="25">
        <f>29*1.08</f>
        <v>31.32</v>
      </c>
      <c r="Z54" s="25"/>
      <c r="AA54" s="25"/>
      <c r="AB54" s="25"/>
      <c r="AC54" s="25"/>
      <c r="AD54" s="25"/>
      <c r="AE54" s="25"/>
    </row>
    <row r="55" spans="1:31" ht="8.25" customHeight="1">
      <c r="A55" s="18">
        <f>SUM(0+D55)</f>
        <v>58.36</v>
      </c>
      <c r="B55" s="19" t="s">
        <v>264</v>
      </c>
      <c r="C55" s="20" t="s">
        <v>17</v>
      </c>
      <c r="D55" s="25">
        <f>SUM(E55:AE55)</f>
        <v>58.36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>
        <f>43*0.89</f>
        <v>38.27</v>
      </c>
      <c r="P55" s="23">
        <f>9*0.25</f>
        <v>2.25</v>
      </c>
      <c r="Q55" s="23"/>
      <c r="R55" s="23"/>
      <c r="S55" s="25">
        <f>16*0.2</f>
        <v>3.2</v>
      </c>
      <c r="T55" s="25">
        <f>9*1.2</f>
        <v>10.799999999999999</v>
      </c>
      <c r="U55" s="25"/>
      <c r="V55" s="25"/>
      <c r="W55" s="25"/>
      <c r="X55" s="25">
        <f>8*0.48</f>
        <v>3.84</v>
      </c>
      <c r="Y55" s="25"/>
      <c r="Z55" s="25"/>
      <c r="AA55" s="25"/>
      <c r="AB55" s="25"/>
      <c r="AC55" s="25"/>
      <c r="AD55" s="25"/>
      <c r="AE55" s="25"/>
    </row>
    <row r="56" spans="1:31" ht="8.25" customHeight="1">
      <c r="A56" s="18">
        <f>SUM(0+D56)</f>
        <v>57.75</v>
      </c>
      <c r="B56" s="19" t="s">
        <v>289</v>
      </c>
      <c r="C56" s="20" t="s">
        <v>21</v>
      </c>
      <c r="D56" s="25">
        <f>SUM(E56:AE56)</f>
        <v>57.75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5"/>
      <c r="T56" s="25"/>
      <c r="U56" s="25"/>
      <c r="V56" s="25"/>
      <c r="W56" s="25">
        <f>33*1.75</f>
        <v>57.75</v>
      </c>
      <c r="X56" s="25"/>
      <c r="Y56" s="25"/>
      <c r="Z56" s="25"/>
      <c r="AA56" s="25"/>
      <c r="AB56" s="25"/>
      <c r="AC56" s="25"/>
      <c r="AD56" s="25"/>
      <c r="AE56" s="25"/>
    </row>
    <row r="57" spans="1:31" ht="8.25" customHeight="1">
      <c r="A57" s="18">
        <f>SUM(0+D57)</f>
        <v>57.080000000000005</v>
      </c>
      <c r="B57" s="19" t="s">
        <v>208</v>
      </c>
      <c r="C57" s="20" t="s">
        <v>7</v>
      </c>
      <c r="D57" s="25">
        <f>SUM(E57:AE57)</f>
        <v>57.080000000000005</v>
      </c>
      <c r="E57" s="25"/>
      <c r="F57" s="23"/>
      <c r="G57" s="23">
        <f>16*1.14</f>
        <v>18.24</v>
      </c>
      <c r="H57" s="23"/>
      <c r="I57" s="23"/>
      <c r="J57" s="25"/>
      <c r="K57" s="25"/>
      <c r="L57" s="25"/>
      <c r="M57" s="25"/>
      <c r="N57" s="23">
        <f>48*0.38</f>
        <v>18.240000000000002</v>
      </c>
      <c r="O57" s="23"/>
      <c r="P57" s="23"/>
      <c r="Q57" s="23">
        <f>11*0.6</f>
        <v>6.6</v>
      </c>
      <c r="R57" s="23"/>
      <c r="S57" s="25"/>
      <c r="T57" s="25"/>
      <c r="U57" s="25"/>
      <c r="V57" s="25"/>
      <c r="W57" s="25">
        <f>8*1.75</f>
        <v>14</v>
      </c>
      <c r="X57" s="25"/>
      <c r="Y57" s="25"/>
      <c r="Z57" s="25"/>
      <c r="AA57" s="25"/>
      <c r="AB57" s="25"/>
      <c r="AC57" s="25"/>
      <c r="AD57" s="25"/>
      <c r="AE57" s="25"/>
    </row>
    <row r="58" spans="1:31" ht="8.25" customHeight="1">
      <c r="A58" s="18">
        <f>SUM(0+D58)</f>
        <v>51.6</v>
      </c>
      <c r="B58" s="19" t="s">
        <v>281</v>
      </c>
      <c r="C58" s="20" t="s">
        <v>24</v>
      </c>
      <c r="D58" s="25">
        <f>SUM(E58:AE58)</f>
        <v>51.6</v>
      </c>
      <c r="E58" s="25"/>
      <c r="F58" s="25"/>
      <c r="G58" s="25"/>
      <c r="H58" s="25"/>
      <c r="I58" s="25"/>
      <c r="J58" s="23"/>
      <c r="K58" s="23"/>
      <c r="L58" s="23"/>
      <c r="M58" s="23"/>
      <c r="N58" s="23"/>
      <c r="O58" s="23"/>
      <c r="P58" s="23"/>
      <c r="Q58" s="23"/>
      <c r="R58" s="23"/>
      <c r="S58" s="25"/>
      <c r="T58" s="25">
        <f>43*1.2</f>
        <v>51.6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ht="8.25" customHeight="1">
      <c r="A59" s="18">
        <f>SUM(0+D59)</f>
        <v>50.440000000000005</v>
      </c>
      <c r="B59" s="19" t="s">
        <v>223</v>
      </c>
      <c r="C59" s="20" t="s">
        <v>17</v>
      </c>
      <c r="D59" s="25">
        <f>SUM(E59:AE59)</f>
        <v>50.440000000000005</v>
      </c>
      <c r="E59" s="23"/>
      <c r="F59" s="23"/>
      <c r="G59" s="23"/>
      <c r="H59" s="23">
        <f>43*0.27</f>
        <v>11.610000000000001</v>
      </c>
      <c r="I59" s="23"/>
      <c r="J59" s="25"/>
      <c r="K59" s="25"/>
      <c r="L59" s="25"/>
      <c r="M59" s="25"/>
      <c r="N59" s="23"/>
      <c r="O59" s="23">
        <f>33*0.89</f>
        <v>29.37</v>
      </c>
      <c r="P59" s="23"/>
      <c r="Q59" s="23"/>
      <c r="R59" s="23">
        <f>43*0.22</f>
        <v>9.46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</row>
    <row r="60" spans="1:31" ht="8.25" customHeight="1">
      <c r="A60" s="18">
        <f>SUM(0+D60)</f>
        <v>45.21</v>
      </c>
      <c r="B60" s="19" t="s">
        <v>89</v>
      </c>
      <c r="C60" s="20" t="s">
        <v>7</v>
      </c>
      <c r="D60" s="25">
        <f>SUM(E60:AE60)</f>
        <v>45.21</v>
      </c>
      <c r="E60" s="23">
        <f>11*2.07</f>
        <v>22.77</v>
      </c>
      <c r="F60" s="23"/>
      <c r="G60" s="23">
        <f>11*1.14</f>
        <v>12.54</v>
      </c>
      <c r="H60" s="23"/>
      <c r="I60" s="23"/>
      <c r="J60" s="25">
        <f>9*1.1</f>
        <v>9.9</v>
      </c>
      <c r="K60" s="25"/>
      <c r="L60" s="25"/>
      <c r="M60" s="23"/>
      <c r="N60" s="23"/>
      <c r="O60" s="23"/>
      <c r="P60" s="23"/>
      <c r="Q60" s="23"/>
      <c r="R60" s="23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 ht="8.25" customHeight="1">
      <c r="A61" s="18">
        <f>SUM(0+D61)</f>
        <v>44.459999999999994</v>
      </c>
      <c r="B61" s="19" t="s">
        <v>205</v>
      </c>
      <c r="C61" s="20" t="s">
        <v>7</v>
      </c>
      <c r="D61" s="25">
        <f>SUM(E61:AE61)</f>
        <v>44.459999999999994</v>
      </c>
      <c r="E61" s="25"/>
      <c r="F61" s="23"/>
      <c r="G61" s="23">
        <f>39*1.14</f>
        <v>44.459999999999994</v>
      </c>
      <c r="H61" s="23"/>
      <c r="I61" s="23"/>
      <c r="J61" s="25"/>
      <c r="K61" s="25"/>
      <c r="L61" s="25"/>
      <c r="M61" s="25"/>
      <c r="N61" s="23"/>
      <c r="O61" s="23"/>
      <c r="P61" s="23"/>
      <c r="Q61" s="23"/>
      <c r="R61" s="23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t="8.25" customHeight="1">
      <c r="A62" s="18">
        <f>SUM(0+D62)</f>
        <v>39.6</v>
      </c>
      <c r="B62" s="19" t="s">
        <v>282</v>
      </c>
      <c r="C62" s="20" t="s">
        <v>14</v>
      </c>
      <c r="D62" s="25">
        <f>SUM(E62:AE62)</f>
        <v>39.6</v>
      </c>
      <c r="E62" s="19"/>
      <c r="F62" s="19"/>
      <c r="G62" s="19"/>
      <c r="H62" s="19"/>
      <c r="I62" s="19"/>
      <c r="J62" s="19"/>
      <c r="K62" s="19"/>
      <c r="L62" s="19"/>
      <c r="M62" s="25"/>
      <c r="N62" s="25"/>
      <c r="O62" s="25"/>
      <c r="P62" s="25"/>
      <c r="Q62" s="25"/>
      <c r="R62" s="23"/>
      <c r="S62" s="25"/>
      <c r="T62" s="25">
        <f>33*1.2</f>
        <v>39.6</v>
      </c>
      <c r="U62" s="25"/>
      <c r="V62" s="25"/>
      <c r="W62" s="25"/>
      <c r="X62" s="19"/>
      <c r="Y62" s="19"/>
      <c r="Z62" s="19"/>
      <c r="AA62" s="19"/>
      <c r="AB62" s="19"/>
      <c r="AC62" s="19"/>
      <c r="AD62" s="19"/>
      <c r="AE62" s="19"/>
    </row>
    <row r="63" spans="1:31" ht="8.25" customHeight="1">
      <c r="A63" s="18">
        <f>SUM(0+D63)</f>
        <v>36.6</v>
      </c>
      <c r="B63" s="19" t="s">
        <v>273</v>
      </c>
      <c r="C63" s="20" t="s">
        <v>17</v>
      </c>
      <c r="D63" s="25">
        <f>SUM(E63:AE63)</f>
        <v>36.6</v>
      </c>
      <c r="E63" s="25"/>
      <c r="F63" s="25"/>
      <c r="G63" s="25"/>
      <c r="H63" s="25"/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5">
        <f>183*0.2</f>
        <v>36.6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ht="8.25" customHeight="1">
      <c r="A64" s="18">
        <f>SUM(0+D64)</f>
        <v>35.31</v>
      </c>
      <c r="B64" s="19" t="s">
        <v>191</v>
      </c>
      <c r="C64" s="20" t="s">
        <v>14</v>
      </c>
      <c r="D64" s="25">
        <f>SUM(E64:AE64)</f>
        <v>35.31</v>
      </c>
      <c r="E64" s="23">
        <f>11*2.07</f>
        <v>22.77</v>
      </c>
      <c r="F64" s="23"/>
      <c r="G64" s="23">
        <f>11*1.14</f>
        <v>12.54</v>
      </c>
      <c r="H64" s="23"/>
      <c r="I64" s="23"/>
      <c r="J64" s="25"/>
      <c r="K64" s="25"/>
      <c r="L64" s="25"/>
      <c r="M64" s="25"/>
      <c r="N64" s="23"/>
      <c r="O64" s="23"/>
      <c r="P64" s="23"/>
      <c r="Q64" s="23"/>
      <c r="R64" s="23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ht="8.25" customHeight="1">
      <c r="A65" s="18">
        <f>SUM(0+D65)</f>
        <v>34.22</v>
      </c>
      <c r="B65" s="19" t="s">
        <v>285</v>
      </c>
      <c r="C65" s="20" t="s">
        <v>21</v>
      </c>
      <c r="D65" s="25">
        <f>SUM(E65:AE65)</f>
        <v>34.22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5"/>
      <c r="T65" s="25">
        <f>6*1.2</f>
        <v>7.199999999999999</v>
      </c>
      <c r="U65" s="25"/>
      <c r="V65" s="25">
        <f>6*0.91</f>
        <v>5.46</v>
      </c>
      <c r="W65" s="25">
        <f>8*1.75</f>
        <v>14</v>
      </c>
      <c r="X65" s="25"/>
      <c r="Y65" s="25">
        <f>7*1.08</f>
        <v>7.5600000000000005</v>
      </c>
      <c r="Z65" s="25"/>
      <c r="AA65" s="25"/>
      <c r="AB65" s="25"/>
      <c r="AC65" s="25"/>
      <c r="AD65" s="25"/>
      <c r="AE65" s="25"/>
    </row>
    <row r="66" spans="1:31" ht="8.25" customHeight="1">
      <c r="A66" s="18">
        <f>SUM(0+D66)</f>
        <v>33.480000000000004</v>
      </c>
      <c r="B66" s="19" t="s">
        <v>164</v>
      </c>
      <c r="C66" s="20" t="s">
        <v>21</v>
      </c>
      <c r="D66" s="25">
        <f>SUM(E66:AE66)</f>
        <v>33.480000000000004</v>
      </c>
      <c r="E66" s="23"/>
      <c r="F66" s="23"/>
      <c r="G66" s="23"/>
      <c r="H66" s="23"/>
      <c r="I66" s="23"/>
      <c r="J66" s="25"/>
      <c r="K66" s="25"/>
      <c r="L66" s="25"/>
      <c r="M66" s="25"/>
      <c r="N66" s="25"/>
      <c r="O66" s="25"/>
      <c r="P66" s="25"/>
      <c r="Q66" s="25"/>
      <c r="R66" s="23"/>
      <c r="S66" s="25"/>
      <c r="T66" s="25"/>
      <c r="U66" s="25"/>
      <c r="V66" s="25"/>
      <c r="W66" s="25"/>
      <c r="X66" s="25"/>
      <c r="Y66" s="25">
        <f>31*1.08</f>
        <v>33.480000000000004</v>
      </c>
      <c r="Z66" s="25"/>
      <c r="AA66" s="25"/>
      <c r="AB66" s="25"/>
      <c r="AC66" s="25"/>
      <c r="AD66" s="25"/>
      <c r="AE66" s="25"/>
    </row>
    <row r="67" spans="1:31" ht="8.25" customHeight="1">
      <c r="A67" s="18">
        <f>SUM(0+D67)</f>
        <v>32.56</v>
      </c>
      <c r="B67" s="19" t="s">
        <v>187</v>
      </c>
      <c r="C67" s="20" t="s">
        <v>7</v>
      </c>
      <c r="D67" s="25">
        <f>SUM(E67:AE67)</f>
        <v>32.56</v>
      </c>
      <c r="E67" s="23"/>
      <c r="F67" s="23"/>
      <c r="G67" s="23"/>
      <c r="H67" s="23"/>
      <c r="I67" s="23"/>
      <c r="J67" s="25">
        <f>16*1.1</f>
        <v>17.6</v>
      </c>
      <c r="K67" s="25"/>
      <c r="L67" s="25">
        <f>9*0.44</f>
        <v>3.96</v>
      </c>
      <c r="M67" s="23">
        <v>11</v>
      </c>
      <c r="N67" s="23"/>
      <c r="O67" s="23"/>
      <c r="P67" s="23"/>
      <c r="Q67" s="23"/>
      <c r="R67" s="23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ht="8.25" customHeight="1">
      <c r="A68" s="18">
        <f>SUM(0+D68)</f>
        <v>31.2</v>
      </c>
      <c r="B68" s="19" t="s">
        <v>283</v>
      </c>
      <c r="C68" s="20" t="s">
        <v>24</v>
      </c>
      <c r="D68" s="25">
        <f>SUM(E68:AE68)</f>
        <v>31.2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3"/>
      <c r="S68" s="25"/>
      <c r="T68" s="25">
        <f>26*1.2</f>
        <v>31.2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ht="8.25" customHeight="1">
      <c r="A69" s="18">
        <f>SUM(0+D69)</f>
        <v>30.07</v>
      </c>
      <c r="B69" s="19" t="s">
        <v>188</v>
      </c>
      <c r="C69" s="20" t="s">
        <v>37</v>
      </c>
      <c r="D69" s="25">
        <f>SUM(E69:AE69)</f>
        <v>30.07</v>
      </c>
      <c r="E69" s="23">
        <f>9*2.07</f>
        <v>18.63</v>
      </c>
      <c r="F69" s="23"/>
      <c r="G69" s="23"/>
      <c r="H69" s="23"/>
      <c r="I69" s="23"/>
      <c r="J69" s="25"/>
      <c r="K69" s="25"/>
      <c r="L69" s="25">
        <f>26*0.44</f>
        <v>11.44</v>
      </c>
      <c r="M69" s="25"/>
      <c r="N69" s="23"/>
      <c r="O69" s="23"/>
      <c r="P69" s="23"/>
      <c r="Q69" s="23"/>
      <c r="R69" s="23"/>
      <c r="S69" s="25"/>
      <c r="T69" s="25"/>
      <c r="U69" s="25"/>
      <c r="V69" s="25"/>
      <c r="W69" s="25"/>
      <c r="X69" s="19"/>
      <c r="Y69" s="19"/>
      <c r="Z69" s="19"/>
      <c r="AA69" s="19"/>
      <c r="AB69" s="19"/>
      <c r="AC69" s="19"/>
      <c r="AD69" s="19"/>
      <c r="AE69" s="19"/>
    </row>
    <row r="70" spans="1:31" ht="8.25" customHeight="1">
      <c r="A70" s="18">
        <f>SUM(0+D70)</f>
        <v>29.099999999999998</v>
      </c>
      <c r="B70" s="19" t="s">
        <v>72</v>
      </c>
      <c r="C70" s="20" t="s">
        <v>7</v>
      </c>
      <c r="D70" s="25">
        <f>SUM(E70:AE70)</f>
        <v>29.099999999999998</v>
      </c>
      <c r="E70" s="23">
        <f>8*2.07</f>
        <v>16.56</v>
      </c>
      <c r="F70" s="23"/>
      <c r="G70" s="23">
        <f>11*1.14</f>
        <v>12.54</v>
      </c>
      <c r="H70" s="23"/>
      <c r="I70" s="23"/>
      <c r="J70" s="25"/>
      <c r="K70" s="25"/>
      <c r="L70" s="25"/>
      <c r="M70" s="25"/>
      <c r="N70" s="23"/>
      <c r="O70" s="23"/>
      <c r="P70" s="23"/>
      <c r="Q70" s="23"/>
      <c r="R70" s="23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ht="8.25" customHeight="1">
      <c r="A71" s="18">
        <f>SUM(0+D71)</f>
        <v>27.96</v>
      </c>
      <c r="B71" s="19" t="s">
        <v>259</v>
      </c>
      <c r="C71" s="20" t="s">
        <v>5</v>
      </c>
      <c r="D71" s="25">
        <f>SUM(E71:AE71)</f>
        <v>27.96</v>
      </c>
      <c r="E71" s="25"/>
      <c r="F71" s="25"/>
      <c r="G71" s="25"/>
      <c r="H71" s="25"/>
      <c r="I71" s="25"/>
      <c r="J71" s="25"/>
      <c r="K71" s="25"/>
      <c r="L71" s="25"/>
      <c r="M71" s="25"/>
      <c r="N71" s="23">
        <f>22*0.38</f>
        <v>8.36</v>
      </c>
      <c r="O71" s="23"/>
      <c r="P71" s="23">
        <f>52*0.25</f>
        <v>13</v>
      </c>
      <c r="Q71" s="23">
        <f>11*0.6</f>
        <v>6.6</v>
      </c>
      <c r="R71" s="23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ht="8.25" customHeight="1">
      <c r="A72" s="18">
        <f>SUM(0+D72)</f>
        <v>23.200000000000003</v>
      </c>
      <c r="B72" s="19" t="s">
        <v>272</v>
      </c>
      <c r="C72" s="20" t="s">
        <v>17</v>
      </c>
      <c r="D72" s="25">
        <f>SUM(E72:AE72)</f>
        <v>23.200000000000003</v>
      </c>
      <c r="E72" s="19"/>
      <c r="F72" s="19"/>
      <c r="G72" s="19"/>
      <c r="H72" s="19"/>
      <c r="I72" s="19"/>
      <c r="J72" s="19"/>
      <c r="K72" s="19"/>
      <c r="L72" s="19"/>
      <c r="M72" s="25"/>
      <c r="N72" s="23"/>
      <c r="O72" s="23"/>
      <c r="P72" s="23"/>
      <c r="Q72" s="23"/>
      <c r="R72" s="23"/>
      <c r="S72" s="25">
        <f>116*0.2</f>
        <v>23.200000000000003</v>
      </c>
      <c r="T72" s="25"/>
      <c r="U72" s="25"/>
      <c r="V72" s="25"/>
      <c r="W72" s="25"/>
      <c r="X72" s="19"/>
      <c r="Y72" s="19"/>
      <c r="Z72" s="19"/>
      <c r="AA72" s="19"/>
      <c r="AB72" s="19"/>
      <c r="AC72" s="19"/>
      <c r="AD72" s="19"/>
      <c r="AE72" s="19"/>
    </row>
    <row r="73" spans="1:31" ht="8.25" customHeight="1">
      <c r="A73" s="18">
        <f>SUM(0+D73)</f>
        <v>23.14</v>
      </c>
      <c r="B73" s="19" t="s">
        <v>224</v>
      </c>
      <c r="C73" s="20" t="s">
        <v>17</v>
      </c>
      <c r="D73" s="25">
        <f>SUM(E73:AE73)</f>
        <v>23.14</v>
      </c>
      <c r="E73" s="25"/>
      <c r="F73" s="25"/>
      <c r="G73" s="25"/>
      <c r="H73" s="25"/>
      <c r="I73" s="25"/>
      <c r="J73" s="25"/>
      <c r="K73" s="25"/>
      <c r="L73" s="25"/>
      <c r="M73" s="25"/>
      <c r="N73" s="23"/>
      <c r="O73" s="23">
        <f>26*0.89</f>
        <v>23.14</v>
      </c>
      <c r="P73" s="23"/>
      <c r="Q73" s="23"/>
      <c r="R73" s="23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ht="8.25" customHeight="1">
      <c r="A74" s="18">
        <f>SUM(0+D74)</f>
        <v>22.77</v>
      </c>
      <c r="B74" s="19" t="s">
        <v>71</v>
      </c>
      <c r="C74" s="20" t="s">
        <v>7</v>
      </c>
      <c r="D74" s="25">
        <f>SUM(E74:AE74)</f>
        <v>22.77</v>
      </c>
      <c r="E74" s="23">
        <f>11*2.07</f>
        <v>22.77</v>
      </c>
      <c r="F74" s="23"/>
      <c r="G74" s="23"/>
      <c r="H74" s="23"/>
      <c r="I74" s="23"/>
      <c r="J74" s="25"/>
      <c r="K74" s="25"/>
      <c r="L74" s="25"/>
      <c r="M74" s="23"/>
      <c r="N74" s="23"/>
      <c r="O74" s="23"/>
      <c r="P74" s="23"/>
      <c r="Q74" s="23"/>
      <c r="R74" s="23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8.25" customHeight="1">
      <c r="A75" s="18">
        <f>SUM(0+D75)</f>
        <v>22.36</v>
      </c>
      <c r="B75" s="19" t="s">
        <v>210</v>
      </c>
      <c r="C75" s="20" t="s">
        <v>7</v>
      </c>
      <c r="D75" s="25">
        <f>SUM(E75:AE75)</f>
        <v>22.36</v>
      </c>
      <c r="E75" s="25"/>
      <c r="F75" s="23"/>
      <c r="G75" s="23">
        <f>9*1.14</f>
        <v>10.26</v>
      </c>
      <c r="H75" s="23"/>
      <c r="I75" s="23"/>
      <c r="J75" s="25">
        <f>11*1.1</f>
        <v>12.100000000000001</v>
      </c>
      <c r="K75" s="25"/>
      <c r="L75" s="25"/>
      <c r="M75" s="25"/>
      <c r="N75" s="23"/>
      <c r="O75" s="23"/>
      <c r="P75" s="23"/>
      <c r="Q75" s="23"/>
      <c r="R75" s="23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1" ht="8.25" customHeight="1">
      <c r="A76" s="18">
        <f>SUM(0+D76)</f>
        <v>19.28</v>
      </c>
      <c r="B76" s="19" t="s">
        <v>91</v>
      </c>
      <c r="C76" s="20" t="s">
        <v>92</v>
      </c>
      <c r="D76" s="25">
        <f>SUM(E76:AE76)</f>
        <v>19.28</v>
      </c>
      <c r="E76" s="25"/>
      <c r="F76" s="23"/>
      <c r="G76" s="25"/>
      <c r="H76" s="25"/>
      <c r="I76" s="23">
        <f>9*0.96</f>
        <v>8.64</v>
      </c>
      <c r="J76" s="25"/>
      <c r="K76" s="25"/>
      <c r="L76" s="25"/>
      <c r="M76" s="25"/>
      <c r="N76" s="23">
        <f>28*0.38</f>
        <v>10.64</v>
      </c>
      <c r="O76" s="23"/>
      <c r="P76" s="23"/>
      <c r="Q76" s="23"/>
      <c r="R76" s="23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ht="8.25" customHeight="1">
      <c r="A77" s="18">
        <f>SUM(0+D77)</f>
        <v>18.63</v>
      </c>
      <c r="B77" s="19" t="s">
        <v>80</v>
      </c>
      <c r="C77" s="20" t="s">
        <v>12</v>
      </c>
      <c r="D77" s="25">
        <f>SUM(E77:AE77)</f>
        <v>18.63</v>
      </c>
      <c r="E77" s="23">
        <f>9*2.07</f>
        <v>18.63</v>
      </c>
      <c r="F77" s="23"/>
      <c r="G77" s="23"/>
      <c r="H77" s="23"/>
      <c r="I77" s="23"/>
      <c r="J77" s="25"/>
      <c r="K77" s="25"/>
      <c r="L77" s="25"/>
      <c r="M77" s="25"/>
      <c r="N77" s="23"/>
      <c r="O77" s="23"/>
      <c r="P77" s="23"/>
      <c r="Q77" s="23"/>
      <c r="R77" s="23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t="8.25" customHeight="1">
      <c r="A78" s="18">
        <f>SUM(0+D78)</f>
        <v>18.36</v>
      </c>
      <c r="B78" s="19" t="s">
        <v>165</v>
      </c>
      <c r="C78" s="20" t="s">
        <v>21</v>
      </c>
      <c r="D78" s="25">
        <f>SUM(E78:AE78)</f>
        <v>18.36</v>
      </c>
      <c r="E78" s="19"/>
      <c r="F78" s="23"/>
      <c r="G78" s="19"/>
      <c r="H78" s="23"/>
      <c r="I78" s="23">
        <f>9*0.96</f>
        <v>8.64</v>
      </c>
      <c r="J78" s="25"/>
      <c r="K78" s="25"/>
      <c r="L78" s="25"/>
      <c r="M78" s="25"/>
      <c r="N78" s="23"/>
      <c r="O78" s="23"/>
      <c r="P78" s="23"/>
      <c r="Q78" s="23"/>
      <c r="R78" s="23"/>
      <c r="S78" s="25"/>
      <c r="T78" s="25"/>
      <c r="U78" s="25"/>
      <c r="V78" s="25"/>
      <c r="W78" s="25"/>
      <c r="X78" s="19"/>
      <c r="Y78" s="19">
        <f>9*1.08</f>
        <v>9.72</v>
      </c>
      <c r="Z78" s="19"/>
      <c r="AA78" s="19"/>
      <c r="AB78" s="19"/>
      <c r="AC78" s="19"/>
      <c r="AD78" s="19"/>
      <c r="AE78" s="19"/>
    </row>
    <row r="79" spans="1:31" ht="8.25" customHeight="1">
      <c r="A79" s="18">
        <f>SUM(0+D79)</f>
        <v>16.78</v>
      </c>
      <c r="B79" s="19" t="s">
        <v>209</v>
      </c>
      <c r="C79" s="20" t="s">
        <v>7</v>
      </c>
      <c r="D79" s="25">
        <f>SUM(E79:AE79)</f>
        <v>16.78</v>
      </c>
      <c r="E79" s="25"/>
      <c r="F79" s="23"/>
      <c r="G79" s="23">
        <f>7*1.14</f>
        <v>7.9799999999999995</v>
      </c>
      <c r="H79" s="23"/>
      <c r="I79" s="23"/>
      <c r="J79" s="25">
        <f>8*1.1</f>
        <v>8.8</v>
      </c>
      <c r="K79" s="25"/>
      <c r="L79" s="25"/>
      <c r="M79" s="25"/>
      <c r="N79" s="23"/>
      <c r="O79" s="23"/>
      <c r="P79" s="23"/>
      <c r="Q79" s="23"/>
      <c r="R79" s="23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ht="8.25" customHeight="1">
      <c r="A80" s="18">
        <f>SUM(0+D80)</f>
        <v>15.200000000000001</v>
      </c>
      <c r="B80" s="19" t="s">
        <v>274</v>
      </c>
      <c r="C80" s="20" t="s">
        <v>17</v>
      </c>
      <c r="D80" s="25">
        <f>SUM(E80:AE80)</f>
        <v>15.200000000000001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3"/>
      <c r="P80" s="23"/>
      <c r="Q80" s="23"/>
      <c r="R80" s="23"/>
      <c r="S80" s="25">
        <f>76*0.2</f>
        <v>15.200000000000001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ht="8.25" customHeight="1">
      <c r="A81" s="18">
        <f>SUM(0+D81)</f>
        <v>14.83</v>
      </c>
      <c r="B81" s="19" t="s">
        <v>235</v>
      </c>
      <c r="C81" s="20" t="s">
        <v>14</v>
      </c>
      <c r="D81" s="25">
        <f>SUM(E81:AE81)</f>
        <v>14.83</v>
      </c>
      <c r="E81" s="23"/>
      <c r="F81" s="23"/>
      <c r="G81" s="23"/>
      <c r="H81" s="23"/>
      <c r="I81" s="23">
        <f>8*0.96</f>
        <v>7.68</v>
      </c>
      <c r="J81" s="25"/>
      <c r="K81" s="25">
        <f>11*0.65</f>
        <v>7.15</v>
      </c>
      <c r="L81" s="25"/>
      <c r="M81" s="23"/>
      <c r="N81" s="23"/>
      <c r="O81" s="23"/>
      <c r="P81" s="23"/>
      <c r="Q81" s="23"/>
      <c r="R81" s="23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ht="8.25" customHeight="1">
      <c r="A82" s="18">
        <f>SUM(0+D82)</f>
        <v>14.43</v>
      </c>
      <c r="B82" s="19" t="s">
        <v>252</v>
      </c>
      <c r="C82" s="20" t="s">
        <v>14</v>
      </c>
      <c r="D82" s="25">
        <f>SUM(E82:AE82)</f>
        <v>14.43</v>
      </c>
      <c r="E82" s="23"/>
      <c r="F82" s="23"/>
      <c r="G82" s="23"/>
      <c r="H82" s="23"/>
      <c r="I82" s="23"/>
      <c r="J82" s="25"/>
      <c r="K82" s="25">
        <f>11*0.65</f>
        <v>7.15</v>
      </c>
      <c r="L82" s="25"/>
      <c r="M82" s="23"/>
      <c r="N82" s="23"/>
      <c r="O82" s="23"/>
      <c r="P82" s="23"/>
      <c r="Q82" s="23"/>
      <c r="R82" s="23"/>
      <c r="S82" s="25"/>
      <c r="T82" s="25"/>
      <c r="U82" s="25"/>
      <c r="V82" s="25">
        <f>8*0.91</f>
        <v>7.28</v>
      </c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ht="8.25" customHeight="1">
      <c r="A83" s="18">
        <f>SUM(0+D83)</f>
        <v>14.04</v>
      </c>
      <c r="B83" s="19" t="s">
        <v>142</v>
      </c>
      <c r="C83" s="20" t="s">
        <v>21</v>
      </c>
      <c r="D83" s="25">
        <f>SUM(E83:AE83)</f>
        <v>14.04</v>
      </c>
      <c r="E83" s="19"/>
      <c r="F83" s="19"/>
      <c r="G83" s="19"/>
      <c r="H83" s="19"/>
      <c r="I83" s="23"/>
      <c r="J83" s="19"/>
      <c r="K83" s="25">
        <f>9*0.65</f>
        <v>5.8500000000000005</v>
      </c>
      <c r="L83" s="25"/>
      <c r="M83" s="25"/>
      <c r="N83" s="23"/>
      <c r="O83" s="23"/>
      <c r="P83" s="23"/>
      <c r="Q83" s="23"/>
      <c r="R83" s="23"/>
      <c r="S83" s="25"/>
      <c r="T83" s="25"/>
      <c r="U83" s="25"/>
      <c r="V83" s="25">
        <f>9*0.91</f>
        <v>8.19</v>
      </c>
      <c r="W83" s="25"/>
      <c r="X83" s="19"/>
      <c r="Y83" s="19"/>
      <c r="Z83" s="19"/>
      <c r="AA83" s="19"/>
      <c r="AB83" s="19"/>
      <c r="AC83" s="19"/>
      <c r="AD83" s="19"/>
      <c r="AE83" s="19"/>
    </row>
    <row r="84" spans="1:31" ht="8.25" customHeight="1">
      <c r="A84" s="18">
        <f>SUM(0+D84)</f>
        <v>13.2</v>
      </c>
      <c r="B84" s="19" t="s">
        <v>40</v>
      </c>
      <c r="C84" s="20" t="s">
        <v>14</v>
      </c>
      <c r="D84" s="25">
        <f>SUM(E84:AE84)</f>
        <v>13.2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3"/>
      <c r="S84" s="25"/>
      <c r="T84" s="25">
        <f>11*1.2</f>
        <v>13.2</v>
      </c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ht="8.25" customHeight="1">
      <c r="A85" s="18">
        <f>SUM(0+D85)</f>
        <v>10.64</v>
      </c>
      <c r="B85" s="19" t="s">
        <v>258</v>
      </c>
      <c r="C85" s="20" t="s">
        <v>7</v>
      </c>
      <c r="D85" s="25">
        <f>SUM(E85:AE85)</f>
        <v>10.64</v>
      </c>
      <c r="E85" s="19"/>
      <c r="F85" s="19"/>
      <c r="G85" s="19"/>
      <c r="H85" s="19"/>
      <c r="I85" s="19"/>
      <c r="J85" s="19"/>
      <c r="K85" s="25"/>
      <c r="L85" s="25"/>
      <c r="M85" s="25"/>
      <c r="N85" s="23">
        <f>28*0.38</f>
        <v>10.64</v>
      </c>
      <c r="O85" s="23"/>
      <c r="P85" s="23"/>
      <c r="Q85" s="23"/>
      <c r="R85" s="23"/>
      <c r="S85" s="25"/>
      <c r="T85" s="25"/>
      <c r="U85" s="25"/>
      <c r="V85" s="25"/>
      <c r="W85" s="25"/>
      <c r="X85" s="19"/>
      <c r="Y85" s="19"/>
      <c r="Z85" s="19"/>
      <c r="AA85" s="19"/>
      <c r="AB85" s="19"/>
      <c r="AC85" s="19"/>
      <c r="AD85" s="19"/>
      <c r="AE85" s="19"/>
    </row>
    <row r="86" spans="1:31" ht="8.25" customHeight="1">
      <c r="A86" s="18">
        <f>SUM(0+D86)</f>
        <v>9.25</v>
      </c>
      <c r="B86" s="19" t="s">
        <v>298</v>
      </c>
      <c r="C86" s="20" t="s">
        <v>5</v>
      </c>
      <c r="D86" s="25">
        <f>SUM(E86:AE86)</f>
        <v>9.25</v>
      </c>
      <c r="E86" s="23"/>
      <c r="F86" s="23"/>
      <c r="G86" s="23"/>
      <c r="H86" s="23"/>
      <c r="I86" s="23"/>
      <c r="J86" s="25"/>
      <c r="K86" s="25"/>
      <c r="L86" s="25"/>
      <c r="M86" s="25"/>
      <c r="N86" s="25"/>
      <c r="O86" s="25"/>
      <c r="P86" s="25">
        <f>37*0.25</f>
        <v>9.25</v>
      </c>
      <c r="Q86" s="25"/>
      <c r="R86" s="23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ht="8.25" customHeight="1">
      <c r="A87" s="18">
        <f>SUM(0+D87)</f>
        <v>9.12</v>
      </c>
      <c r="B87" s="19" t="s">
        <v>213</v>
      </c>
      <c r="C87" s="20" t="s">
        <v>14</v>
      </c>
      <c r="D87" s="25">
        <f>SUM(E87:AE87)</f>
        <v>9.12</v>
      </c>
      <c r="E87" s="25"/>
      <c r="F87" s="23"/>
      <c r="G87" s="23">
        <f>8*1.14</f>
        <v>9.12</v>
      </c>
      <c r="H87" s="23"/>
      <c r="I87" s="23"/>
      <c r="J87" s="25"/>
      <c r="K87" s="25"/>
      <c r="L87" s="25"/>
      <c r="M87" s="25"/>
      <c r="N87" s="23"/>
      <c r="O87" s="23"/>
      <c r="P87" s="23"/>
      <c r="Q87" s="23"/>
      <c r="R87" s="23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ht="8.25" customHeight="1">
      <c r="A88" s="18">
        <f>SUM(0+D88)</f>
        <v>8.91</v>
      </c>
      <c r="B88" s="19" t="s">
        <v>226</v>
      </c>
      <c r="C88" s="20" t="s">
        <v>17</v>
      </c>
      <c r="D88" s="25">
        <f>SUM(E88:AE88)</f>
        <v>8.91</v>
      </c>
      <c r="E88" s="19"/>
      <c r="F88" s="23"/>
      <c r="G88" s="19"/>
      <c r="H88" s="23">
        <f>33*0.27</f>
        <v>8.91</v>
      </c>
      <c r="I88" s="23"/>
      <c r="J88" s="25"/>
      <c r="K88" s="25"/>
      <c r="L88" s="25"/>
      <c r="M88" s="25"/>
      <c r="N88" s="23"/>
      <c r="O88" s="23"/>
      <c r="P88" s="23"/>
      <c r="Q88" s="23"/>
      <c r="R88" s="23"/>
      <c r="S88" s="25"/>
      <c r="T88" s="25"/>
      <c r="U88" s="25"/>
      <c r="V88" s="25"/>
      <c r="W88" s="25"/>
      <c r="X88" s="19"/>
      <c r="Y88" s="19"/>
      <c r="Z88" s="19"/>
      <c r="AA88" s="19"/>
      <c r="AB88" s="19"/>
      <c r="AC88" s="19"/>
      <c r="AD88" s="19"/>
      <c r="AE88" s="19"/>
    </row>
    <row r="89" spans="1:31" ht="8.25" customHeight="1">
      <c r="A89" s="18">
        <f>SUM(0+D89)</f>
        <v>8.28</v>
      </c>
      <c r="B89" s="19" t="s">
        <v>190</v>
      </c>
      <c r="C89" s="20" t="s">
        <v>14</v>
      </c>
      <c r="D89" s="25">
        <f>SUM(E89:AE89)</f>
        <v>8.28</v>
      </c>
      <c r="E89" s="23">
        <f>4*2.07</f>
        <v>8.28</v>
      </c>
      <c r="F89" s="23"/>
      <c r="G89" s="23"/>
      <c r="H89" s="23"/>
      <c r="I89" s="23"/>
      <c r="J89" s="25"/>
      <c r="K89" s="25"/>
      <c r="L89" s="25"/>
      <c r="M89" s="23"/>
      <c r="N89" s="23"/>
      <c r="O89" s="23"/>
      <c r="P89" s="23"/>
      <c r="Q89" s="23"/>
      <c r="R89" s="23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ht="8.25" customHeight="1">
      <c r="A90" s="18">
        <f>SUM(0+D90)</f>
        <v>7.15</v>
      </c>
      <c r="B90" s="19" t="s">
        <v>250</v>
      </c>
      <c r="C90" s="20" t="s">
        <v>17</v>
      </c>
      <c r="D90" s="25">
        <f>SUM(E90:AE90)</f>
        <v>7.15</v>
      </c>
      <c r="E90" s="25"/>
      <c r="F90" s="23"/>
      <c r="G90" s="25"/>
      <c r="H90" s="25"/>
      <c r="I90" s="23"/>
      <c r="J90" s="25"/>
      <c r="K90" s="25">
        <f>11*0.65</f>
        <v>7.15</v>
      </c>
      <c r="L90" s="25"/>
      <c r="M90" s="23"/>
      <c r="N90" s="23"/>
      <c r="O90" s="23"/>
      <c r="P90" s="23"/>
      <c r="Q90" s="23"/>
      <c r="R90" s="23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ht="8.25" customHeight="1">
      <c r="A91" s="18">
        <f>SUM(0+D91)</f>
        <v>6.23</v>
      </c>
      <c r="B91" s="19" t="s">
        <v>265</v>
      </c>
      <c r="C91" s="20" t="s">
        <v>17</v>
      </c>
      <c r="D91" s="25">
        <f>SUM(E91:AE91)</f>
        <v>6.23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>
        <f>7*0.89</f>
        <v>6.23</v>
      </c>
      <c r="P91" s="23"/>
      <c r="Q91" s="23"/>
      <c r="R91" s="23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ht="8.25" customHeight="1">
      <c r="A92" s="18">
        <f>SUM(0+D92)</f>
        <v>5.72</v>
      </c>
      <c r="B92" s="19" t="s">
        <v>270</v>
      </c>
      <c r="C92" s="20" t="s">
        <v>17</v>
      </c>
      <c r="D92" s="25">
        <f>SUM(E92:AE92)</f>
        <v>5.72</v>
      </c>
      <c r="E92" s="25"/>
      <c r="F92" s="25"/>
      <c r="G92" s="25"/>
      <c r="H92" s="25"/>
      <c r="I92" s="25"/>
      <c r="J92" s="23"/>
      <c r="K92" s="23"/>
      <c r="L92" s="23"/>
      <c r="M92" s="23"/>
      <c r="N92" s="23"/>
      <c r="O92" s="23"/>
      <c r="P92" s="23"/>
      <c r="Q92" s="23"/>
      <c r="R92" s="23">
        <f>26*0.22</f>
        <v>5.72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ht="8.25" customHeight="1">
      <c r="A93" s="18">
        <f>SUM(0+D93)</f>
        <v>5.3999999999999995</v>
      </c>
      <c r="B93" s="19" t="s">
        <v>292</v>
      </c>
      <c r="C93" s="20" t="s">
        <v>35</v>
      </c>
      <c r="D93" s="25">
        <f>SUM(E93:AE93)</f>
        <v>5.3999999999999995</v>
      </c>
      <c r="E93" s="23"/>
      <c r="F93" s="23"/>
      <c r="G93" s="23"/>
      <c r="H93" s="23"/>
      <c r="I93" s="23"/>
      <c r="J93" s="25"/>
      <c r="K93" s="25"/>
      <c r="L93" s="25"/>
      <c r="M93" s="25"/>
      <c r="N93" s="25"/>
      <c r="O93" s="25"/>
      <c r="P93" s="25"/>
      <c r="Q93" s="25">
        <f>9*0.6</f>
        <v>5.3999999999999995</v>
      </c>
      <c r="R93" s="23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ht="8.25" customHeight="1">
      <c r="A94" s="18">
        <f>SUM(0+D94)</f>
        <v>4.18</v>
      </c>
      <c r="B94" s="19" t="s">
        <v>197</v>
      </c>
      <c r="C94" s="20" t="s">
        <v>35</v>
      </c>
      <c r="D94" s="25">
        <f>SUM(E94:AE94)</f>
        <v>4.18</v>
      </c>
      <c r="E94" s="23"/>
      <c r="F94" s="23"/>
      <c r="G94" s="23"/>
      <c r="H94" s="23"/>
      <c r="I94" s="23"/>
      <c r="J94" s="23"/>
      <c r="K94" s="25"/>
      <c r="L94" s="23"/>
      <c r="M94" s="23"/>
      <c r="N94" s="23">
        <f>11*0.38</f>
        <v>4.18</v>
      </c>
      <c r="O94" s="23"/>
      <c r="P94" s="23"/>
      <c r="Q94" s="23"/>
      <c r="R94" s="23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ht="8.25" customHeight="1">
      <c r="A95" s="18">
        <f>SUM(0+D95)</f>
        <v>2.16</v>
      </c>
      <c r="B95" s="19" t="s">
        <v>225</v>
      </c>
      <c r="C95" s="20" t="s">
        <v>17</v>
      </c>
      <c r="D95" s="25">
        <f>SUM(E95:AE95)</f>
        <v>2.16</v>
      </c>
      <c r="E95" s="19"/>
      <c r="F95" s="23"/>
      <c r="G95" s="19"/>
      <c r="H95" s="23">
        <f>8*0.27</f>
        <v>2.16</v>
      </c>
      <c r="I95" s="23"/>
      <c r="J95" s="25"/>
      <c r="K95" s="25"/>
      <c r="L95" s="25"/>
      <c r="M95" s="25"/>
      <c r="N95" s="23"/>
      <c r="O95" s="23"/>
      <c r="P95" s="23"/>
      <c r="Q95" s="23"/>
      <c r="R95" s="23"/>
      <c r="S95" s="25"/>
      <c r="T95" s="25"/>
      <c r="U95" s="25"/>
      <c r="V95" s="25"/>
      <c r="W95" s="25"/>
      <c r="X95" s="19"/>
      <c r="Y95" s="19"/>
      <c r="Z95" s="19"/>
      <c r="AA95" s="19"/>
      <c r="AB95" s="19"/>
      <c r="AC95" s="19"/>
      <c r="AD95" s="19"/>
      <c r="AE95" s="19"/>
    </row>
    <row r="96" spans="1:31" ht="8.25" customHeight="1">
      <c r="A96" s="18">
        <f>SUM(0+D96)</f>
        <v>0.6</v>
      </c>
      <c r="B96" s="19" t="s">
        <v>304</v>
      </c>
      <c r="C96" s="20" t="s">
        <v>7</v>
      </c>
      <c r="D96" s="25">
        <f>SUM(E96:AE96)</f>
        <v>0.6</v>
      </c>
      <c r="E96" s="25"/>
      <c r="F96" s="25"/>
      <c r="G96" s="25"/>
      <c r="H96" s="25"/>
      <c r="I96" s="25"/>
      <c r="J96" s="23"/>
      <c r="K96" s="23"/>
      <c r="L96" s="23"/>
      <c r="M96" s="23"/>
      <c r="N96" s="23"/>
      <c r="O96" s="23"/>
      <c r="P96" s="23"/>
      <c r="Q96" s="23">
        <f>1*0.6</f>
        <v>0.6</v>
      </c>
      <c r="R96" s="23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ht="8.25" customHeight="1">
      <c r="A97" s="18">
        <f>SUM(0+D97)</f>
        <v>0</v>
      </c>
      <c r="B97" s="19"/>
      <c r="C97" s="20"/>
      <c r="D97" s="25">
        <f>SUM(E97:AE97)</f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3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ht="8.25" customHeight="1">
      <c r="A98" s="18">
        <f>SUM(0+D98)</f>
        <v>0</v>
      </c>
      <c r="B98" s="19"/>
      <c r="C98" s="20"/>
      <c r="D98" s="25">
        <f>SUM(E98:AE98)</f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3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3:18" ht="8.25" customHeight="1">
      <c r="M99" s="29"/>
      <c r="N99" s="29"/>
      <c r="O99" s="29"/>
      <c r="P99" s="29"/>
      <c r="Q99" s="29"/>
      <c r="R99" s="29"/>
    </row>
    <row r="100" spans="13:18" ht="8.25" customHeight="1">
      <c r="M100" s="29"/>
      <c r="N100" s="29"/>
      <c r="O100" s="29"/>
      <c r="P100" s="29"/>
      <c r="Q100" s="29"/>
      <c r="R100" s="29"/>
    </row>
    <row r="101" spans="13:18" ht="8.25" customHeight="1">
      <c r="M101" s="29"/>
      <c r="N101" s="29"/>
      <c r="O101" s="29"/>
      <c r="P101" s="29"/>
      <c r="Q101" s="29"/>
      <c r="R101" s="29"/>
    </row>
    <row r="102" spans="13:18" ht="8.25" customHeight="1">
      <c r="M102" s="29"/>
      <c r="N102" s="29"/>
      <c r="O102" s="29"/>
      <c r="P102" s="29"/>
      <c r="Q102" s="29"/>
      <c r="R102" s="29"/>
    </row>
    <row r="103" spans="13:18" ht="8.25" customHeight="1">
      <c r="M103" s="29"/>
      <c r="N103" s="29"/>
      <c r="O103" s="29"/>
      <c r="P103" s="29"/>
      <c r="Q103" s="29"/>
      <c r="R103" s="29"/>
    </row>
    <row r="104" spans="13:18" ht="8.25" customHeight="1">
      <c r="M104" s="29"/>
      <c r="N104" s="29"/>
      <c r="O104" s="29"/>
      <c r="P104" s="29"/>
      <c r="Q104" s="29"/>
      <c r="R104" s="29"/>
    </row>
    <row r="105" spans="13:18" ht="8.25" customHeight="1">
      <c r="M105" s="29"/>
      <c r="N105" s="29"/>
      <c r="O105" s="29"/>
      <c r="P105" s="29"/>
      <c r="Q105" s="29"/>
      <c r="R105" s="29"/>
    </row>
    <row r="106" spans="13:18" ht="8.25" customHeight="1">
      <c r="M106" s="29"/>
      <c r="N106" s="29"/>
      <c r="O106" s="29"/>
      <c r="P106" s="29"/>
      <c r="Q106" s="29"/>
      <c r="R106" s="29"/>
    </row>
    <row r="107" spans="13:18" ht="8.25" customHeight="1">
      <c r="M107" s="29"/>
      <c r="N107" s="29"/>
      <c r="O107" s="29"/>
      <c r="P107" s="29"/>
      <c r="Q107" s="29"/>
      <c r="R107" s="29"/>
    </row>
    <row r="108" spans="13:18" ht="8.25" customHeight="1">
      <c r="M108" s="29"/>
      <c r="N108" s="29"/>
      <c r="O108" s="29"/>
      <c r="P108" s="29"/>
      <c r="Q108" s="29"/>
      <c r="R108" s="29"/>
    </row>
    <row r="109" spans="13:18" ht="8.25" customHeight="1">
      <c r="M109" s="29"/>
      <c r="N109" s="29"/>
      <c r="O109" s="29"/>
      <c r="P109" s="29"/>
      <c r="Q109" s="29"/>
      <c r="R109" s="29"/>
    </row>
    <row r="110" spans="13:18" ht="8.25" customHeight="1">
      <c r="M110" s="29"/>
      <c r="N110" s="29"/>
      <c r="O110" s="29"/>
      <c r="P110" s="29"/>
      <c r="Q110" s="29"/>
      <c r="R110" s="29"/>
    </row>
    <row r="111" spans="13:18" ht="8.25" customHeight="1">
      <c r="M111" s="29"/>
      <c r="N111" s="29"/>
      <c r="O111" s="29"/>
      <c r="P111" s="29"/>
      <c r="Q111" s="29"/>
      <c r="R111" s="29"/>
    </row>
    <row r="112" spans="13:18" ht="8.25" customHeight="1">
      <c r="M112" s="29"/>
      <c r="N112" s="29"/>
      <c r="O112" s="29"/>
      <c r="P112" s="29"/>
      <c r="Q112" s="29"/>
      <c r="R112" s="29"/>
    </row>
    <row r="113" spans="13:18" ht="8.25" customHeight="1">
      <c r="M113" s="29"/>
      <c r="N113" s="29"/>
      <c r="O113" s="29"/>
      <c r="P113" s="29"/>
      <c r="Q113" s="29"/>
      <c r="R113" s="29"/>
    </row>
    <row r="114" spans="13:18" ht="8.25" customHeight="1">
      <c r="M114" s="29"/>
      <c r="N114" s="29"/>
      <c r="O114" s="29"/>
      <c r="P114" s="29"/>
      <c r="Q114" s="29"/>
      <c r="R114" s="29"/>
    </row>
    <row r="115" spans="13:18" ht="8.25" customHeight="1">
      <c r="M115" s="29"/>
      <c r="N115" s="29"/>
      <c r="O115" s="29"/>
      <c r="P115" s="29"/>
      <c r="Q115" s="29"/>
      <c r="R115" s="29"/>
    </row>
    <row r="116" spans="13:18" ht="8.25" customHeight="1">
      <c r="M116" s="29"/>
      <c r="N116" s="29"/>
      <c r="O116" s="29"/>
      <c r="P116" s="29"/>
      <c r="Q116" s="29"/>
      <c r="R116" s="29"/>
    </row>
    <row r="117" spans="13:18" ht="8.25" customHeight="1">
      <c r="M117" s="29"/>
      <c r="N117" s="29"/>
      <c r="O117" s="29"/>
      <c r="P117" s="29"/>
      <c r="Q117" s="29"/>
      <c r="R117" s="29"/>
    </row>
    <row r="118" spans="13:18" ht="8.25" customHeight="1">
      <c r="M118" s="29"/>
      <c r="N118" s="29"/>
      <c r="O118" s="29"/>
      <c r="P118" s="29"/>
      <c r="Q118" s="29"/>
      <c r="R118" s="29"/>
    </row>
    <row r="119" spans="13:18" ht="8.25" customHeight="1">
      <c r="M119" s="29"/>
      <c r="N119" s="29"/>
      <c r="O119" s="29"/>
      <c r="P119" s="29"/>
      <c r="Q119" s="29"/>
      <c r="R119" s="29"/>
    </row>
    <row r="120" spans="13:18" ht="8.25" customHeight="1">
      <c r="M120" s="29"/>
      <c r="N120" s="29"/>
      <c r="O120" s="29"/>
      <c r="P120" s="29"/>
      <c r="Q120" s="29"/>
      <c r="R120" s="29"/>
    </row>
    <row r="121" spans="13:18" ht="8.25" customHeight="1">
      <c r="M121" s="29"/>
      <c r="N121" s="29"/>
      <c r="O121" s="29"/>
      <c r="P121" s="29"/>
      <c r="Q121" s="29"/>
      <c r="R121" s="29"/>
    </row>
    <row r="122" spans="13:18" ht="8.25" customHeight="1">
      <c r="M122" s="29"/>
      <c r="N122" s="29"/>
      <c r="O122" s="29"/>
      <c r="P122" s="29"/>
      <c r="Q122" s="29"/>
      <c r="R122" s="29"/>
    </row>
    <row r="123" spans="13:18" ht="8.25" customHeight="1">
      <c r="M123" s="29"/>
      <c r="N123" s="29"/>
      <c r="O123" s="29"/>
      <c r="P123" s="29"/>
      <c r="Q123" s="29"/>
      <c r="R123" s="29"/>
    </row>
    <row r="124" spans="13:18" ht="8.25" customHeight="1">
      <c r="M124" s="29"/>
      <c r="N124" s="29"/>
      <c r="O124" s="29"/>
      <c r="P124" s="29"/>
      <c r="Q124" s="29"/>
      <c r="R124" s="29"/>
    </row>
    <row r="125" spans="13:18" ht="8.25" customHeight="1">
      <c r="M125" s="29"/>
      <c r="N125" s="29"/>
      <c r="O125" s="29"/>
      <c r="P125" s="29"/>
      <c r="Q125" s="29"/>
      <c r="R125" s="29"/>
    </row>
    <row r="126" spans="13:18" ht="8.25" customHeight="1">
      <c r="M126" s="29"/>
      <c r="N126" s="29"/>
      <c r="O126" s="29"/>
      <c r="P126" s="29"/>
      <c r="Q126" s="29"/>
      <c r="R126" s="29"/>
    </row>
    <row r="127" spans="13:18" ht="8.25" customHeight="1">
      <c r="M127" s="29"/>
      <c r="N127" s="29"/>
      <c r="O127" s="29"/>
      <c r="P127" s="29"/>
      <c r="Q127" s="29"/>
      <c r="R127" s="29"/>
    </row>
    <row r="128" spans="13:18" ht="8.25" customHeight="1">
      <c r="M128" s="29"/>
      <c r="N128" s="29"/>
      <c r="O128" s="29"/>
      <c r="P128" s="29"/>
      <c r="Q128" s="29"/>
      <c r="R128" s="29"/>
    </row>
    <row r="129" spans="13:18" ht="8.25" customHeight="1">
      <c r="M129" s="29"/>
      <c r="N129" s="29"/>
      <c r="O129" s="29"/>
      <c r="P129" s="29"/>
      <c r="Q129" s="29"/>
      <c r="R129" s="29"/>
    </row>
    <row r="130" spans="13:18" ht="8.25" customHeight="1">
      <c r="M130" s="29"/>
      <c r="N130" s="29"/>
      <c r="O130" s="29"/>
      <c r="P130" s="29"/>
      <c r="Q130" s="29"/>
      <c r="R130" s="29"/>
    </row>
    <row r="131" spans="13:18" ht="8.25" customHeight="1">
      <c r="M131" s="29"/>
      <c r="N131" s="29"/>
      <c r="O131" s="29"/>
      <c r="P131" s="29"/>
      <c r="Q131" s="29"/>
      <c r="R131" s="29"/>
    </row>
    <row r="132" spans="13:18" ht="8.25" customHeight="1">
      <c r="M132" s="29"/>
      <c r="N132" s="29"/>
      <c r="O132" s="29"/>
      <c r="P132" s="29"/>
      <c r="Q132" s="29"/>
      <c r="R132" s="29"/>
    </row>
    <row r="133" spans="13:18" ht="8.25" customHeight="1">
      <c r="M133" s="29"/>
      <c r="N133" s="29"/>
      <c r="O133" s="29"/>
      <c r="P133" s="29"/>
      <c r="Q133" s="29"/>
      <c r="R133" s="29"/>
    </row>
    <row r="134" spans="13:18" ht="8.25" customHeight="1">
      <c r="M134" s="29"/>
      <c r="N134" s="29"/>
      <c r="O134" s="29"/>
      <c r="P134" s="29"/>
      <c r="Q134" s="29"/>
      <c r="R134" s="29"/>
    </row>
    <row r="135" spans="13:18" ht="8.25" customHeight="1">
      <c r="M135" s="29"/>
      <c r="N135" s="29"/>
      <c r="O135" s="29"/>
      <c r="P135" s="29"/>
      <c r="Q135" s="29"/>
      <c r="R135" s="29"/>
    </row>
    <row r="136" spans="13:18" ht="8.25" customHeight="1">
      <c r="M136" s="29"/>
      <c r="N136" s="29"/>
      <c r="O136" s="29"/>
      <c r="P136" s="29"/>
      <c r="Q136" s="29"/>
      <c r="R136" s="29"/>
    </row>
    <row r="137" spans="13:18" ht="8.25" customHeight="1">
      <c r="M137" s="29"/>
      <c r="N137" s="29"/>
      <c r="O137" s="29"/>
      <c r="P137" s="29"/>
      <c r="Q137" s="29"/>
      <c r="R137" s="29"/>
    </row>
    <row r="138" spans="13:18" ht="8.25" customHeight="1">
      <c r="M138" s="29"/>
      <c r="N138" s="29"/>
      <c r="O138" s="29"/>
      <c r="P138" s="29"/>
      <c r="Q138" s="29"/>
      <c r="R138" s="29"/>
    </row>
    <row r="139" spans="13:18" ht="8.25" customHeight="1">
      <c r="M139" s="29"/>
      <c r="N139" s="29"/>
      <c r="O139" s="29"/>
      <c r="P139" s="29"/>
      <c r="Q139" s="29"/>
      <c r="R139" s="29"/>
    </row>
    <row r="140" spans="13:18" ht="8.25" customHeight="1">
      <c r="M140" s="29"/>
      <c r="N140" s="29"/>
      <c r="O140" s="29"/>
      <c r="P140" s="29"/>
      <c r="Q140" s="29"/>
      <c r="R140" s="29"/>
    </row>
    <row r="141" spans="13:18" ht="8.25" customHeight="1">
      <c r="M141" s="29"/>
      <c r="N141" s="29"/>
      <c r="O141" s="29"/>
      <c r="P141" s="29"/>
      <c r="Q141" s="29"/>
      <c r="R141" s="29"/>
    </row>
    <row r="142" spans="13:18" ht="8.25" customHeight="1">
      <c r="M142" s="29"/>
      <c r="N142" s="29"/>
      <c r="O142" s="29"/>
      <c r="P142" s="29"/>
      <c r="Q142" s="29"/>
      <c r="R142" s="29"/>
    </row>
    <row r="143" spans="13:18" ht="8.25" customHeight="1">
      <c r="M143" s="29"/>
      <c r="N143" s="29"/>
      <c r="O143" s="29"/>
      <c r="P143" s="29"/>
      <c r="Q143" s="29"/>
      <c r="R143" s="29"/>
    </row>
    <row r="144" spans="13:18" ht="8.25" customHeight="1">
      <c r="M144" s="29"/>
      <c r="N144" s="29"/>
      <c r="O144" s="29"/>
      <c r="P144" s="29"/>
      <c r="Q144" s="29"/>
      <c r="R144" s="29"/>
    </row>
    <row r="145" spans="13:18" ht="8.25" customHeight="1">
      <c r="M145" s="29"/>
      <c r="N145" s="29"/>
      <c r="O145" s="29"/>
      <c r="P145" s="29"/>
      <c r="Q145" s="29"/>
      <c r="R145" s="29"/>
    </row>
    <row r="146" spans="13:18" ht="8.25" customHeight="1">
      <c r="M146" s="29"/>
      <c r="N146" s="29"/>
      <c r="O146" s="29"/>
      <c r="P146" s="29"/>
      <c r="Q146" s="29"/>
      <c r="R146" s="29"/>
    </row>
    <row r="147" spans="13:18" ht="8.25" customHeight="1">
      <c r="M147" s="29"/>
      <c r="N147" s="29"/>
      <c r="O147" s="29"/>
      <c r="P147" s="29"/>
      <c r="Q147" s="29"/>
      <c r="R147" s="29"/>
    </row>
    <row r="148" spans="13:18" ht="8.25" customHeight="1">
      <c r="M148" s="29"/>
      <c r="N148" s="29"/>
      <c r="O148" s="29"/>
      <c r="P148" s="29"/>
      <c r="Q148" s="29"/>
      <c r="R148" s="29"/>
    </row>
    <row r="149" spans="13:18" ht="8.25" customHeight="1">
      <c r="M149" s="29"/>
      <c r="N149" s="29"/>
      <c r="O149" s="29"/>
      <c r="P149" s="29"/>
      <c r="Q149" s="29"/>
      <c r="R149" s="29"/>
    </row>
    <row r="150" spans="13:18" ht="8.25" customHeight="1">
      <c r="M150" s="29"/>
      <c r="N150" s="29"/>
      <c r="O150" s="29"/>
      <c r="P150" s="29"/>
      <c r="Q150" s="29"/>
      <c r="R150" s="29"/>
    </row>
    <row r="151" spans="13:18" ht="8.25" customHeight="1">
      <c r="M151" s="29"/>
      <c r="N151" s="29"/>
      <c r="O151" s="29"/>
      <c r="P151" s="29"/>
      <c r="Q151" s="29"/>
      <c r="R151" s="29"/>
    </row>
    <row r="152" spans="13:18" ht="8.25" customHeight="1">
      <c r="M152" s="29"/>
      <c r="N152" s="29"/>
      <c r="O152" s="29"/>
      <c r="P152" s="29"/>
      <c r="Q152" s="29"/>
      <c r="R152" s="29"/>
    </row>
    <row r="153" spans="13:18" ht="8.25" customHeight="1">
      <c r="M153" s="29"/>
      <c r="N153" s="29"/>
      <c r="O153" s="29"/>
      <c r="P153" s="29"/>
      <c r="Q153" s="29"/>
      <c r="R153" s="29"/>
    </row>
    <row r="154" spans="13:18" ht="8.25" customHeight="1">
      <c r="M154" s="29"/>
      <c r="N154" s="29"/>
      <c r="O154" s="29"/>
      <c r="P154" s="29"/>
      <c r="Q154" s="29"/>
      <c r="R154" s="29"/>
    </row>
    <row r="155" spans="13:18" ht="8.25" customHeight="1">
      <c r="M155" s="29"/>
      <c r="N155" s="29"/>
      <c r="O155" s="29"/>
      <c r="P155" s="29"/>
      <c r="Q155" s="29"/>
      <c r="R155" s="29"/>
    </row>
    <row r="156" spans="13:18" ht="8.25" customHeight="1">
      <c r="M156" s="29"/>
      <c r="N156" s="29"/>
      <c r="O156" s="29"/>
      <c r="P156" s="29"/>
      <c r="Q156" s="29"/>
      <c r="R156" s="29"/>
    </row>
    <row r="157" spans="13:18" ht="8.25" customHeight="1">
      <c r="M157" s="29"/>
      <c r="N157" s="29"/>
      <c r="O157" s="29"/>
      <c r="P157" s="29"/>
      <c r="Q157" s="29"/>
      <c r="R157" s="29"/>
    </row>
    <row r="158" spans="13:18" ht="8.25" customHeight="1">
      <c r="M158" s="29"/>
      <c r="N158" s="29"/>
      <c r="O158" s="29"/>
      <c r="P158" s="29"/>
      <c r="Q158" s="29"/>
      <c r="R158" s="29"/>
    </row>
    <row r="159" spans="13:18" ht="8.25" customHeight="1">
      <c r="M159" s="29"/>
      <c r="N159" s="29"/>
      <c r="O159" s="29"/>
      <c r="P159" s="29"/>
      <c r="Q159" s="29"/>
      <c r="R159" s="29"/>
    </row>
    <row r="160" spans="13:18" ht="8.25" customHeight="1">
      <c r="M160" s="29"/>
      <c r="N160" s="29"/>
      <c r="O160" s="29"/>
      <c r="P160" s="29"/>
      <c r="Q160" s="29"/>
      <c r="R160" s="29"/>
    </row>
    <row r="161" spans="13:18" ht="8.25" customHeight="1">
      <c r="M161" s="29"/>
      <c r="N161" s="29"/>
      <c r="O161" s="29"/>
      <c r="P161" s="29"/>
      <c r="Q161" s="29"/>
      <c r="R161" s="29"/>
    </row>
    <row r="162" spans="13:18" ht="8.25" customHeight="1">
      <c r="M162" s="29"/>
      <c r="N162" s="29"/>
      <c r="O162" s="29"/>
      <c r="P162" s="29"/>
      <c r="Q162" s="29"/>
      <c r="R162" s="29"/>
    </row>
    <row r="163" spans="13:18" ht="8.25" customHeight="1">
      <c r="M163" s="29"/>
      <c r="N163" s="29"/>
      <c r="O163" s="29"/>
      <c r="P163" s="29"/>
      <c r="Q163" s="29"/>
      <c r="R163" s="29"/>
    </row>
    <row r="164" spans="13:18" ht="8.25" customHeight="1">
      <c r="M164" s="29"/>
      <c r="N164" s="29"/>
      <c r="O164" s="29"/>
      <c r="P164" s="29"/>
      <c r="Q164" s="29"/>
      <c r="R164" s="29"/>
    </row>
    <row r="165" spans="13:18" ht="8.25" customHeight="1">
      <c r="M165" s="29"/>
      <c r="N165" s="29"/>
      <c r="O165" s="29"/>
      <c r="P165" s="29"/>
      <c r="Q165" s="29"/>
      <c r="R165" s="29"/>
    </row>
    <row r="166" spans="13:18" ht="8.25" customHeight="1">
      <c r="M166" s="29"/>
      <c r="N166" s="29"/>
      <c r="O166" s="29"/>
      <c r="P166" s="29"/>
      <c r="Q166" s="29"/>
      <c r="R166" s="29"/>
    </row>
    <row r="167" spans="13:18" ht="8.25" customHeight="1">
      <c r="M167" s="29"/>
      <c r="N167" s="29"/>
      <c r="O167" s="29"/>
      <c r="P167" s="29"/>
      <c r="Q167" s="29"/>
      <c r="R167" s="29"/>
    </row>
    <row r="168" spans="13:18" ht="8.25" customHeight="1">
      <c r="M168" s="29"/>
      <c r="N168" s="29"/>
      <c r="O168" s="29"/>
      <c r="P168" s="29"/>
      <c r="Q168" s="29"/>
      <c r="R168" s="29"/>
    </row>
    <row r="169" spans="13:18" ht="8.25" customHeight="1">
      <c r="M169" s="29"/>
      <c r="N169" s="29"/>
      <c r="O169" s="29"/>
      <c r="P169" s="29"/>
      <c r="Q169" s="29"/>
      <c r="R169" s="29"/>
    </row>
    <row r="170" spans="13:18" ht="8.25" customHeight="1">
      <c r="M170" s="29"/>
      <c r="N170" s="29"/>
      <c r="O170" s="29"/>
      <c r="P170" s="29"/>
      <c r="Q170" s="29"/>
      <c r="R170" s="29"/>
    </row>
    <row r="171" spans="13:18" ht="8.25" customHeight="1">
      <c r="M171" s="29"/>
      <c r="N171" s="29"/>
      <c r="O171" s="29"/>
      <c r="P171" s="29"/>
      <c r="Q171" s="29"/>
      <c r="R171" s="29"/>
    </row>
    <row r="172" spans="13:18" ht="8.25" customHeight="1">
      <c r="M172" s="29"/>
      <c r="N172" s="29"/>
      <c r="O172" s="29"/>
      <c r="P172" s="29"/>
      <c r="Q172" s="29"/>
      <c r="R172" s="29"/>
    </row>
    <row r="173" spans="13:18" ht="8.25" customHeight="1">
      <c r="M173" s="29"/>
      <c r="N173" s="29"/>
      <c r="O173" s="29"/>
      <c r="P173" s="29"/>
      <c r="Q173" s="29"/>
      <c r="R173" s="29"/>
    </row>
    <row r="174" spans="13:18" ht="8.25" customHeight="1">
      <c r="M174" s="29"/>
      <c r="N174" s="29"/>
      <c r="O174" s="29"/>
      <c r="P174" s="29"/>
      <c r="Q174" s="29"/>
      <c r="R174" s="29"/>
    </row>
    <row r="175" spans="13:18" ht="8.25" customHeight="1">
      <c r="M175" s="29"/>
      <c r="N175" s="29"/>
      <c r="O175" s="29"/>
      <c r="P175" s="29"/>
      <c r="Q175" s="29"/>
      <c r="R175" s="29"/>
    </row>
    <row r="176" spans="13:18" ht="8.25" customHeight="1">
      <c r="M176" s="29"/>
      <c r="N176" s="29"/>
      <c r="O176" s="29"/>
      <c r="P176" s="29"/>
      <c r="Q176" s="29"/>
      <c r="R176" s="29"/>
    </row>
    <row r="177" spans="13:18" ht="8.25" customHeight="1">
      <c r="M177" s="29"/>
      <c r="N177" s="29"/>
      <c r="O177" s="29"/>
      <c r="P177" s="29"/>
      <c r="Q177" s="29"/>
      <c r="R177" s="29"/>
    </row>
    <row r="178" spans="13:18" ht="8.25" customHeight="1">
      <c r="M178" s="29"/>
      <c r="N178" s="29"/>
      <c r="O178" s="29"/>
      <c r="P178" s="29"/>
      <c r="Q178" s="29"/>
      <c r="R178" s="29"/>
    </row>
    <row r="179" spans="13:18" ht="8.25" customHeight="1">
      <c r="M179" s="29"/>
      <c r="N179" s="29"/>
      <c r="O179" s="29"/>
      <c r="P179" s="29"/>
      <c r="Q179" s="29"/>
      <c r="R179" s="29"/>
    </row>
    <row r="180" spans="13:18" ht="8.25" customHeight="1">
      <c r="M180" s="29"/>
      <c r="N180" s="29"/>
      <c r="O180" s="29"/>
      <c r="P180" s="29"/>
      <c r="Q180" s="29"/>
      <c r="R180" s="29"/>
    </row>
    <row r="181" spans="13:18" ht="8.25" customHeight="1">
      <c r="M181" s="29"/>
      <c r="N181" s="29"/>
      <c r="O181" s="29"/>
      <c r="P181" s="29"/>
      <c r="Q181" s="29"/>
      <c r="R181" s="29"/>
    </row>
    <row r="182" spans="13:18" ht="8.25" customHeight="1">
      <c r="M182" s="29"/>
      <c r="N182" s="29"/>
      <c r="O182" s="29"/>
      <c r="P182" s="29"/>
      <c r="Q182" s="29"/>
      <c r="R182" s="29"/>
    </row>
    <row r="183" spans="13:18" ht="8.25" customHeight="1">
      <c r="M183" s="29"/>
      <c r="N183" s="29"/>
      <c r="O183" s="29"/>
      <c r="P183" s="29"/>
      <c r="Q183" s="29"/>
      <c r="R183" s="29"/>
    </row>
    <row r="184" spans="13:18" ht="8.25" customHeight="1">
      <c r="M184" s="29"/>
      <c r="N184" s="29"/>
      <c r="O184" s="29"/>
      <c r="P184" s="29"/>
      <c r="Q184" s="29"/>
      <c r="R184" s="29"/>
    </row>
    <row r="185" spans="13:18" ht="8.25" customHeight="1">
      <c r="M185" s="29"/>
      <c r="N185" s="29"/>
      <c r="O185" s="29"/>
      <c r="P185" s="29"/>
      <c r="Q185" s="29"/>
      <c r="R185" s="29"/>
    </row>
    <row r="186" spans="13:18" ht="8.25" customHeight="1">
      <c r="M186" s="29"/>
      <c r="N186" s="29"/>
      <c r="O186" s="29"/>
      <c r="P186" s="29"/>
      <c r="Q186" s="29"/>
      <c r="R186" s="29"/>
    </row>
    <row r="187" spans="13:18" ht="8.25" customHeight="1">
      <c r="M187" s="29"/>
      <c r="N187" s="29"/>
      <c r="O187" s="29"/>
      <c r="P187" s="29"/>
      <c r="Q187" s="29"/>
      <c r="R187" s="29"/>
    </row>
    <row r="188" spans="13:18" ht="8.25" customHeight="1">
      <c r="M188" s="29"/>
      <c r="N188" s="29"/>
      <c r="O188" s="29"/>
      <c r="P188" s="29"/>
      <c r="Q188" s="29"/>
      <c r="R188" s="29"/>
    </row>
    <row r="189" spans="13:18" ht="8.25" customHeight="1">
      <c r="M189" s="29"/>
      <c r="N189" s="29"/>
      <c r="O189" s="29"/>
      <c r="P189" s="29"/>
      <c r="Q189" s="29"/>
      <c r="R189" s="29"/>
    </row>
    <row r="190" spans="13:18" ht="8.25" customHeight="1">
      <c r="M190" s="29"/>
      <c r="N190" s="29"/>
      <c r="O190" s="29"/>
      <c r="P190" s="29"/>
      <c r="Q190" s="29"/>
      <c r="R190" s="29"/>
    </row>
    <row r="191" spans="13:18" ht="8.25" customHeight="1">
      <c r="M191" s="29"/>
      <c r="N191" s="29"/>
      <c r="O191" s="29"/>
      <c r="P191" s="29"/>
      <c r="Q191" s="29"/>
      <c r="R191" s="29"/>
    </row>
    <row r="192" spans="13:18" ht="8.25" customHeight="1">
      <c r="M192" s="29"/>
      <c r="N192" s="29"/>
      <c r="O192" s="29"/>
      <c r="P192" s="29"/>
      <c r="Q192" s="29"/>
      <c r="R192" s="29"/>
    </row>
    <row r="193" spans="13:18" ht="8.25" customHeight="1">
      <c r="M193" s="29"/>
      <c r="N193" s="29"/>
      <c r="O193" s="29"/>
      <c r="P193" s="29"/>
      <c r="Q193" s="29"/>
      <c r="R193" s="29"/>
    </row>
    <row r="194" spans="13:18" ht="8.25" customHeight="1">
      <c r="M194" s="29"/>
      <c r="N194" s="29"/>
      <c r="O194" s="29"/>
      <c r="P194" s="29"/>
      <c r="Q194" s="29"/>
      <c r="R194" s="29"/>
    </row>
    <row r="195" spans="13:18" ht="8.25" customHeight="1">
      <c r="M195" s="29"/>
      <c r="N195" s="29"/>
      <c r="O195" s="29"/>
      <c r="P195" s="29"/>
      <c r="Q195" s="29"/>
      <c r="R195" s="29"/>
    </row>
    <row r="196" spans="13:18" ht="8.25" customHeight="1">
      <c r="M196" s="29"/>
      <c r="N196" s="29"/>
      <c r="O196" s="29"/>
      <c r="P196" s="29"/>
      <c r="Q196" s="29"/>
      <c r="R196" s="29"/>
    </row>
    <row r="197" spans="13:18" ht="8.25" customHeight="1">
      <c r="M197" s="29"/>
      <c r="N197" s="29"/>
      <c r="O197" s="29"/>
      <c r="P197" s="29"/>
      <c r="Q197" s="29"/>
      <c r="R197" s="29"/>
    </row>
    <row r="198" spans="13:18" ht="8.25" customHeight="1">
      <c r="M198" s="29"/>
      <c r="N198" s="29"/>
      <c r="O198" s="29"/>
      <c r="P198" s="29"/>
      <c r="Q198" s="29"/>
      <c r="R198" s="29"/>
    </row>
    <row r="199" spans="13:18" ht="8.25" customHeight="1">
      <c r="M199" s="29"/>
      <c r="N199" s="29"/>
      <c r="O199" s="29"/>
      <c r="P199" s="29"/>
      <c r="Q199" s="29"/>
      <c r="R199" s="29"/>
    </row>
    <row r="200" spans="13:18" ht="8.25" customHeight="1">
      <c r="M200" s="29"/>
      <c r="N200" s="29"/>
      <c r="O200" s="29"/>
      <c r="P200" s="29"/>
      <c r="Q200" s="29"/>
      <c r="R200" s="29"/>
    </row>
    <row r="201" spans="13:18" ht="8.25" customHeight="1">
      <c r="M201" s="29"/>
      <c r="N201" s="29"/>
      <c r="O201" s="29"/>
      <c r="P201" s="29"/>
      <c r="Q201" s="29"/>
      <c r="R201" s="29"/>
    </row>
    <row r="202" spans="13:18" ht="8.25" customHeight="1">
      <c r="M202" s="29"/>
      <c r="N202" s="29"/>
      <c r="O202" s="29"/>
      <c r="P202" s="29"/>
      <c r="Q202" s="29"/>
      <c r="R202" s="29"/>
    </row>
    <row r="203" spans="13:18" ht="8.25" customHeight="1">
      <c r="M203" s="29"/>
      <c r="N203" s="29"/>
      <c r="O203" s="29"/>
      <c r="P203" s="29"/>
      <c r="Q203" s="29"/>
      <c r="R203" s="29"/>
    </row>
    <row r="204" spans="13:18" ht="8.25" customHeight="1">
      <c r="M204" s="29"/>
      <c r="N204" s="29"/>
      <c r="O204" s="29"/>
      <c r="P204" s="29"/>
      <c r="Q204" s="29"/>
      <c r="R204" s="29"/>
    </row>
    <row r="205" spans="13:18" ht="8.25" customHeight="1">
      <c r="M205" s="29"/>
      <c r="N205" s="29"/>
      <c r="O205" s="29"/>
      <c r="P205" s="29"/>
      <c r="Q205" s="29"/>
      <c r="R205" s="29"/>
    </row>
    <row r="206" spans="13:18" ht="8.25" customHeight="1">
      <c r="M206" s="29"/>
      <c r="N206" s="29"/>
      <c r="O206" s="29"/>
      <c r="P206" s="29"/>
      <c r="Q206" s="29"/>
      <c r="R206" s="29"/>
    </row>
    <row r="207" spans="13:18" ht="8.25" customHeight="1">
      <c r="M207" s="29"/>
      <c r="N207" s="29"/>
      <c r="O207" s="29"/>
      <c r="P207" s="29"/>
      <c r="Q207" s="29"/>
      <c r="R207" s="29"/>
    </row>
    <row r="208" spans="13:18" ht="8.25" customHeight="1">
      <c r="M208" s="29"/>
      <c r="N208" s="29"/>
      <c r="O208" s="29"/>
      <c r="P208" s="29"/>
      <c r="Q208" s="29"/>
      <c r="R208" s="29"/>
    </row>
    <row r="209" spans="13:18" ht="8.25" customHeight="1">
      <c r="M209" s="29"/>
      <c r="N209" s="29"/>
      <c r="O209" s="29"/>
      <c r="P209" s="29"/>
      <c r="Q209" s="29"/>
      <c r="R209" s="29"/>
    </row>
    <row r="210" spans="13:18" ht="8.25" customHeight="1">
      <c r="M210" s="29"/>
      <c r="N210" s="29"/>
      <c r="O210" s="29"/>
      <c r="P210" s="29"/>
      <c r="Q210" s="29"/>
      <c r="R210" s="29"/>
    </row>
    <row r="211" spans="13:18" ht="8.25" customHeight="1">
      <c r="M211" s="29"/>
      <c r="N211" s="29"/>
      <c r="O211" s="29"/>
      <c r="P211" s="29"/>
      <c r="Q211" s="29"/>
      <c r="R211" s="29"/>
    </row>
    <row r="212" spans="13:18" ht="8.25" customHeight="1">
      <c r="M212" s="29"/>
      <c r="N212" s="29"/>
      <c r="O212" s="29"/>
      <c r="P212" s="29"/>
      <c r="Q212" s="29"/>
      <c r="R212" s="29"/>
    </row>
    <row r="213" spans="13:18" ht="8.25" customHeight="1">
      <c r="M213" s="29"/>
      <c r="N213" s="29"/>
      <c r="O213" s="29"/>
      <c r="P213" s="29"/>
      <c r="Q213" s="29"/>
      <c r="R213" s="29"/>
    </row>
    <row r="214" spans="13:18" ht="8.25" customHeight="1">
      <c r="M214" s="29"/>
      <c r="N214" s="29"/>
      <c r="O214" s="29"/>
      <c r="P214" s="29"/>
      <c r="Q214" s="29"/>
      <c r="R214" s="29"/>
    </row>
    <row r="215" spans="13:18" ht="8.25" customHeight="1">
      <c r="M215" s="29"/>
      <c r="N215" s="29"/>
      <c r="O215" s="29"/>
      <c r="P215" s="29"/>
      <c r="Q215" s="29"/>
      <c r="R215" s="29"/>
    </row>
    <row r="216" spans="13:18" ht="8.25" customHeight="1">
      <c r="M216" s="29"/>
      <c r="N216" s="29"/>
      <c r="O216" s="29"/>
      <c r="P216" s="29"/>
      <c r="Q216" s="29"/>
      <c r="R216" s="29"/>
    </row>
    <row r="217" spans="13:18" ht="8.25" customHeight="1">
      <c r="M217" s="29"/>
      <c r="N217" s="29"/>
      <c r="O217" s="29"/>
      <c r="P217" s="29"/>
      <c r="Q217" s="29"/>
      <c r="R217" s="29"/>
    </row>
    <row r="218" spans="13:18" ht="8.25" customHeight="1">
      <c r="M218" s="29"/>
      <c r="N218" s="29"/>
      <c r="O218" s="29"/>
      <c r="P218" s="29"/>
      <c r="Q218" s="29"/>
      <c r="R218" s="29"/>
    </row>
    <row r="219" spans="13:18" ht="8.25" customHeight="1">
      <c r="M219" s="29"/>
      <c r="N219" s="29"/>
      <c r="O219" s="29"/>
      <c r="P219" s="29"/>
      <c r="Q219" s="29"/>
      <c r="R219" s="29"/>
    </row>
    <row r="220" spans="13:18" ht="8.25" customHeight="1">
      <c r="M220" s="29"/>
      <c r="N220" s="29"/>
      <c r="O220" s="29"/>
      <c r="P220" s="29"/>
      <c r="Q220" s="29"/>
      <c r="R220" s="29"/>
    </row>
    <row r="221" spans="13:18" ht="8.25" customHeight="1">
      <c r="M221" s="29"/>
      <c r="N221" s="29"/>
      <c r="O221" s="29"/>
      <c r="P221" s="29"/>
      <c r="Q221" s="29"/>
      <c r="R221" s="29"/>
    </row>
    <row r="222" spans="13:18" ht="8.25" customHeight="1">
      <c r="M222" s="29"/>
      <c r="N222" s="29"/>
      <c r="O222" s="29"/>
      <c r="P222" s="29"/>
      <c r="Q222" s="29"/>
      <c r="R222" s="29"/>
    </row>
    <row r="223" spans="13:18" ht="8.25" customHeight="1">
      <c r="M223" s="29"/>
      <c r="N223" s="29"/>
      <c r="O223" s="29"/>
      <c r="P223" s="29"/>
      <c r="Q223" s="29"/>
      <c r="R223" s="29"/>
    </row>
    <row r="224" spans="13:18" ht="8.25" customHeight="1">
      <c r="M224" s="29"/>
      <c r="N224" s="29"/>
      <c r="O224" s="29"/>
      <c r="P224" s="29"/>
      <c r="Q224" s="29"/>
      <c r="R224" s="29"/>
    </row>
    <row r="225" spans="13:18" ht="8.25" customHeight="1">
      <c r="M225" s="29"/>
      <c r="N225" s="29"/>
      <c r="O225" s="29"/>
      <c r="P225" s="29"/>
      <c r="Q225" s="29"/>
      <c r="R225" s="29"/>
    </row>
    <row r="226" spans="13:18" ht="8.25" customHeight="1">
      <c r="M226" s="29"/>
      <c r="N226" s="29"/>
      <c r="O226" s="29"/>
      <c r="P226" s="29"/>
      <c r="Q226" s="29"/>
      <c r="R226" s="29"/>
    </row>
    <row r="227" spans="13:18" ht="8.25" customHeight="1">
      <c r="M227" s="29"/>
      <c r="N227" s="29"/>
      <c r="O227" s="29"/>
      <c r="P227" s="29"/>
      <c r="Q227" s="29"/>
      <c r="R227" s="29"/>
    </row>
    <row r="228" spans="13:18" ht="8.25" customHeight="1">
      <c r="M228" s="29"/>
      <c r="N228" s="29"/>
      <c r="O228" s="29"/>
      <c r="P228" s="29"/>
      <c r="Q228" s="29"/>
      <c r="R228" s="29"/>
    </row>
    <row r="229" spans="13:18" ht="8.25" customHeight="1">
      <c r="M229" s="29"/>
      <c r="N229" s="29"/>
      <c r="O229" s="29"/>
      <c r="P229" s="29"/>
      <c r="Q229" s="29"/>
      <c r="R229" s="29"/>
    </row>
    <row r="230" spans="13:18" ht="8.25" customHeight="1">
      <c r="M230" s="29"/>
      <c r="N230" s="29"/>
      <c r="O230" s="29"/>
      <c r="P230" s="29"/>
      <c r="Q230" s="29"/>
      <c r="R230" s="29"/>
    </row>
    <row r="231" spans="13:18" ht="8.25" customHeight="1">
      <c r="M231" s="29"/>
      <c r="N231" s="29"/>
      <c r="O231" s="29"/>
      <c r="P231" s="29"/>
      <c r="Q231" s="29"/>
      <c r="R231" s="29"/>
    </row>
    <row r="232" spans="13:18" ht="8.25" customHeight="1">
      <c r="M232" s="29"/>
      <c r="N232" s="29"/>
      <c r="O232" s="29"/>
      <c r="P232" s="29"/>
      <c r="Q232" s="29"/>
      <c r="R232" s="29"/>
    </row>
    <row r="233" spans="13:18" ht="8.25" customHeight="1">
      <c r="M233" s="29"/>
      <c r="N233" s="29"/>
      <c r="O233" s="29"/>
      <c r="P233" s="29"/>
      <c r="Q233" s="29"/>
      <c r="R233" s="29"/>
    </row>
    <row r="234" spans="13:18" ht="8.25" customHeight="1">
      <c r="M234" s="29"/>
      <c r="N234" s="29"/>
      <c r="O234" s="29"/>
      <c r="P234" s="29"/>
      <c r="Q234" s="29"/>
      <c r="R234" s="29"/>
    </row>
    <row r="235" spans="13:18" ht="8.25" customHeight="1">
      <c r="M235" s="29"/>
      <c r="N235" s="29"/>
      <c r="O235" s="29"/>
      <c r="P235" s="29"/>
      <c r="Q235" s="29"/>
      <c r="R235" s="29"/>
    </row>
    <row r="236" spans="13:18" ht="8.25" customHeight="1">
      <c r="M236" s="29"/>
      <c r="N236" s="29"/>
      <c r="O236" s="29"/>
      <c r="P236" s="29"/>
      <c r="Q236" s="29"/>
      <c r="R236" s="29"/>
    </row>
    <row r="237" spans="13:18" ht="8.25" customHeight="1">
      <c r="M237" s="29"/>
      <c r="N237" s="29"/>
      <c r="O237" s="29"/>
      <c r="P237" s="29"/>
      <c r="Q237" s="29"/>
      <c r="R237" s="29"/>
    </row>
    <row r="238" spans="13:18" ht="8.25" customHeight="1">
      <c r="M238" s="29"/>
      <c r="N238" s="29"/>
      <c r="O238" s="29"/>
      <c r="P238" s="29"/>
      <c r="Q238" s="29"/>
      <c r="R238" s="29"/>
    </row>
    <row r="239" spans="13:18" ht="8.25" customHeight="1">
      <c r="M239" s="29"/>
      <c r="N239" s="29"/>
      <c r="O239" s="29"/>
      <c r="P239" s="29"/>
      <c r="Q239" s="29"/>
      <c r="R239" s="29"/>
    </row>
    <row r="240" spans="13:18" ht="8.25" customHeight="1">
      <c r="M240" s="29"/>
      <c r="N240" s="29"/>
      <c r="O240" s="29"/>
      <c r="P240" s="29"/>
      <c r="Q240" s="29"/>
      <c r="R240" s="29"/>
    </row>
    <row r="241" spans="13:18" ht="8.25" customHeight="1">
      <c r="M241" s="29"/>
      <c r="N241" s="29"/>
      <c r="O241" s="29"/>
      <c r="P241" s="29"/>
      <c r="Q241" s="29"/>
      <c r="R241" s="29"/>
    </row>
    <row r="242" spans="13:18" ht="8.25" customHeight="1">
      <c r="M242" s="29"/>
      <c r="N242" s="29"/>
      <c r="O242" s="29"/>
      <c r="P242" s="29"/>
      <c r="Q242" s="29"/>
      <c r="R242" s="29"/>
    </row>
    <row r="243" spans="13:18" ht="8.25" customHeight="1">
      <c r="M243" s="29"/>
      <c r="N243" s="29"/>
      <c r="O243" s="29"/>
      <c r="P243" s="29"/>
      <c r="Q243" s="29"/>
      <c r="R243" s="29"/>
    </row>
    <row r="244" spans="13:18" ht="8.25" customHeight="1">
      <c r="M244" s="29"/>
      <c r="N244" s="29"/>
      <c r="O244" s="29"/>
      <c r="P244" s="29"/>
      <c r="Q244" s="29"/>
      <c r="R244" s="29"/>
    </row>
    <row r="245" spans="13:18" ht="8.25" customHeight="1">
      <c r="M245" s="29"/>
      <c r="N245" s="29"/>
      <c r="O245" s="29"/>
      <c r="P245" s="29"/>
      <c r="Q245" s="29"/>
      <c r="R245" s="29"/>
    </row>
    <row r="246" spans="13:18" ht="8.25" customHeight="1">
      <c r="M246" s="29"/>
      <c r="N246" s="29"/>
      <c r="O246" s="29"/>
      <c r="P246" s="29"/>
      <c r="Q246" s="29"/>
      <c r="R246" s="29"/>
    </row>
    <row r="247" spans="13:18" ht="8.25" customHeight="1">
      <c r="M247" s="29"/>
      <c r="N247" s="29"/>
      <c r="O247" s="29"/>
      <c r="P247" s="29"/>
      <c r="Q247" s="29"/>
      <c r="R247" s="29"/>
    </row>
    <row r="248" spans="13:18" ht="8.25" customHeight="1">
      <c r="M248" s="29"/>
      <c r="N248" s="29"/>
      <c r="O248" s="29"/>
      <c r="P248" s="29"/>
      <c r="Q248" s="29"/>
      <c r="R248" s="29"/>
    </row>
    <row r="249" spans="13:18" ht="8.25" customHeight="1">
      <c r="M249" s="29"/>
      <c r="N249" s="29"/>
      <c r="O249" s="29"/>
      <c r="P249" s="29"/>
      <c r="Q249" s="29"/>
      <c r="R249" s="29"/>
    </row>
    <row r="250" spans="13:18" ht="8.25" customHeight="1">
      <c r="M250" s="29"/>
      <c r="N250" s="29"/>
      <c r="O250" s="29"/>
      <c r="P250" s="29"/>
      <c r="Q250" s="29"/>
      <c r="R250" s="29"/>
    </row>
    <row r="251" spans="13:18" ht="8.25" customHeight="1">
      <c r="M251" s="29"/>
      <c r="N251" s="29"/>
      <c r="O251" s="29"/>
      <c r="P251" s="29"/>
      <c r="Q251" s="29"/>
      <c r="R251" s="29"/>
    </row>
    <row r="252" spans="13:18" ht="8.25" customHeight="1">
      <c r="M252" s="29"/>
      <c r="N252" s="29"/>
      <c r="O252" s="29"/>
      <c r="P252" s="29"/>
      <c r="Q252" s="29"/>
      <c r="R252" s="29"/>
    </row>
    <row r="253" spans="13:18" ht="8.25" customHeight="1">
      <c r="M253" s="29"/>
      <c r="N253" s="29"/>
      <c r="O253" s="29"/>
      <c r="P253" s="29"/>
      <c r="Q253" s="29"/>
      <c r="R253" s="29"/>
    </row>
    <row r="254" spans="13:18" ht="8.25" customHeight="1">
      <c r="M254" s="29"/>
      <c r="N254" s="29"/>
      <c r="O254" s="29"/>
      <c r="P254" s="29"/>
      <c r="Q254" s="29"/>
      <c r="R254" s="29"/>
    </row>
    <row r="255" spans="13:18" ht="8.25" customHeight="1">
      <c r="M255" s="29"/>
      <c r="N255" s="29"/>
      <c r="O255" s="29"/>
      <c r="P255" s="29"/>
      <c r="Q255" s="29"/>
      <c r="R255" s="29"/>
    </row>
    <row r="256" spans="13:18" ht="8.25" customHeight="1">
      <c r="M256" s="29"/>
      <c r="N256" s="29"/>
      <c r="O256" s="29"/>
      <c r="P256" s="29"/>
      <c r="Q256" s="29"/>
      <c r="R256" s="29"/>
    </row>
    <row r="257" spans="13:18" ht="8.25" customHeight="1">
      <c r="M257" s="29"/>
      <c r="N257" s="29"/>
      <c r="O257" s="29"/>
      <c r="P257" s="29"/>
      <c r="Q257" s="29"/>
      <c r="R257" s="29"/>
    </row>
    <row r="258" spans="13:18" ht="8.25" customHeight="1">
      <c r="M258" s="29"/>
      <c r="N258" s="29"/>
      <c r="O258" s="29"/>
      <c r="P258" s="29"/>
      <c r="Q258" s="29"/>
      <c r="R258" s="29"/>
    </row>
    <row r="259" spans="13:18" ht="8.25" customHeight="1">
      <c r="M259" s="29"/>
      <c r="N259" s="29"/>
      <c r="O259" s="29"/>
      <c r="P259" s="29"/>
      <c r="Q259" s="29"/>
      <c r="R259" s="29"/>
    </row>
    <row r="260" spans="13:18" ht="8.25" customHeight="1">
      <c r="M260" s="29"/>
      <c r="N260" s="29"/>
      <c r="O260" s="29"/>
      <c r="P260" s="29"/>
      <c r="Q260" s="29"/>
      <c r="R260" s="29"/>
    </row>
    <row r="261" spans="13:18" ht="8.25" customHeight="1">
      <c r="M261" s="29"/>
      <c r="N261" s="29"/>
      <c r="O261" s="29"/>
      <c r="P261" s="29"/>
      <c r="Q261" s="29"/>
      <c r="R261" s="29"/>
    </row>
    <row r="262" spans="13:18" ht="8.25" customHeight="1">
      <c r="M262" s="29"/>
      <c r="N262" s="29"/>
      <c r="O262" s="29"/>
      <c r="P262" s="29"/>
      <c r="Q262" s="29"/>
      <c r="R262" s="29"/>
    </row>
    <row r="263" spans="13:18" ht="8.25" customHeight="1">
      <c r="M263" s="29"/>
      <c r="N263" s="29"/>
      <c r="O263" s="29"/>
      <c r="P263" s="29"/>
      <c r="Q263" s="29"/>
      <c r="R263" s="29"/>
    </row>
    <row r="264" spans="13:18" ht="8.25" customHeight="1">
      <c r="M264" s="29"/>
      <c r="N264" s="29"/>
      <c r="O264" s="29"/>
      <c r="P264" s="29"/>
      <c r="Q264" s="29"/>
      <c r="R264" s="29"/>
    </row>
    <row r="265" spans="13:18" ht="8.25" customHeight="1">
      <c r="M265" s="29"/>
      <c r="N265" s="29"/>
      <c r="O265" s="29"/>
      <c r="P265" s="29"/>
      <c r="Q265" s="29"/>
      <c r="R265" s="29"/>
    </row>
    <row r="266" spans="13:18" ht="8.25" customHeight="1">
      <c r="M266" s="29"/>
      <c r="N266" s="29"/>
      <c r="O266" s="29"/>
      <c r="P266" s="29"/>
      <c r="Q266" s="29"/>
      <c r="R266" s="29"/>
    </row>
    <row r="267" spans="13:18" ht="8.25" customHeight="1">
      <c r="M267" s="29"/>
      <c r="N267" s="29"/>
      <c r="O267" s="29"/>
      <c r="P267" s="29"/>
      <c r="Q267" s="29"/>
      <c r="R267" s="29"/>
    </row>
    <row r="268" spans="13:18" ht="8.25" customHeight="1">
      <c r="M268" s="29"/>
      <c r="N268" s="29"/>
      <c r="O268" s="29"/>
      <c r="P268" s="29"/>
      <c r="Q268" s="29"/>
      <c r="R268" s="29"/>
    </row>
    <row r="269" spans="13:18" ht="8.25" customHeight="1">
      <c r="M269" s="29"/>
      <c r="N269" s="29"/>
      <c r="O269" s="29"/>
      <c r="P269" s="29"/>
      <c r="Q269" s="29"/>
      <c r="R269" s="29"/>
    </row>
    <row r="270" spans="13:18" ht="8.25" customHeight="1">
      <c r="M270" s="29"/>
      <c r="N270" s="29"/>
      <c r="O270" s="29"/>
      <c r="P270" s="29"/>
      <c r="Q270" s="29"/>
      <c r="R270" s="29"/>
    </row>
    <row r="271" spans="13:18" ht="8.25" customHeight="1">
      <c r="M271" s="29"/>
      <c r="N271" s="29"/>
      <c r="O271" s="29"/>
      <c r="P271" s="29"/>
      <c r="Q271" s="29"/>
      <c r="R271" s="29"/>
    </row>
    <row r="272" spans="13:18" ht="8.25" customHeight="1">
      <c r="M272" s="29"/>
      <c r="N272" s="29"/>
      <c r="O272" s="29"/>
      <c r="P272" s="29"/>
      <c r="Q272" s="29"/>
      <c r="R272" s="29"/>
    </row>
    <row r="273" spans="13:18" ht="8.25" customHeight="1">
      <c r="M273" s="29"/>
      <c r="N273" s="29"/>
      <c r="O273" s="29"/>
      <c r="P273" s="29"/>
      <c r="Q273" s="29"/>
      <c r="R273" s="29"/>
    </row>
    <row r="274" spans="13:18" ht="8.25" customHeight="1">
      <c r="M274" s="29"/>
      <c r="N274" s="29"/>
      <c r="O274" s="29"/>
      <c r="P274" s="29"/>
      <c r="Q274" s="29"/>
      <c r="R274" s="29"/>
    </row>
    <row r="275" spans="13:18" ht="8.25" customHeight="1">
      <c r="M275" s="29"/>
      <c r="N275" s="29"/>
      <c r="O275" s="29"/>
      <c r="P275" s="29"/>
      <c r="Q275" s="29"/>
      <c r="R275" s="29"/>
    </row>
    <row r="276" spans="13:18" ht="8.25" customHeight="1">
      <c r="M276" s="29"/>
      <c r="N276" s="29"/>
      <c r="O276" s="29"/>
      <c r="P276" s="29"/>
      <c r="Q276" s="29"/>
      <c r="R276" s="29"/>
    </row>
    <row r="277" spans="13:18" ht="8.25" customHeight="1">
      <c r="M277" s="29"/>
      <c r="N277" s="29"/>
      <c r="O277" s="29"/>
      <c r="P277" s="29"/>
      <c r="Q277" s="29"/>
      <c r="R277" s="29"/>
    </row>
    <row r="278" spans="13:18" ht="8.25" customHeight="1">
      <c r="M278" s="29"/>
      <c r="N278" s="29"/>
      <c r="O278" s="29"/>
      <c r="P278" s="29"/>
      <c r="Q278" s="29"/>
      <c r="R278" s="29"/>
    </row>
    <row r="279" spans="13:18" ht="8.25" customHeight="1">
      <c r="M279" s="29"/>
      <c r="N279" s="29"/>
      <c r="O279" s="29"/>
      <c r="P279" s="29"/>
      <c r="Q279" s="29"/>
      <c r="R279" s="29"/>
    </row>
    <row r="280" spans="13:18" ht="8.25" customHeight="1">
      <c r="M280" s="29"/>
      <c r="N280" s="29"/>
      <c r="O280" s="29"/>
      <c r="P280" s="29"/>
      <c r="Q280" s="29"/>
      <c r="R280" s="29"/>
    </row>
    <row r="281" spans="13:18" ht="8.25" customHeight="1">
      <c r="M281" s="29"/>
      <c r="N281" s="29"/>
      <c r="O281" s="29"/>
      <c r="P281" s="29"/>
      <c r="Q281" s="29"/>
      <c r="R281" s="29"/>
    </row>
    <row r="282" spans="13:18" ht="8.25" customHeight="1">
      <c r="M282" s="29"/>
      <c r="N282" s="29"/>
      <c r="O282" s="29"/>
      <c r="P282" s="29"/>
      <c r="Q282" s="29"/>
      <c r="R282" s="29"/>
    </row>
    <row r="283" spans="13:18" ht="8.25" customHeight="1">
      <c r="M283" s="29"/>
      <c r="N283" s="29"/>
      <c r="O283" s="29"/>
      <c r="P283" s="29"/>
      <c r="Q283" s="29"/>
      <c r="R283" s="29"/>
    </row>
    <row r="284" spans="13:18" ht="8.25" customHeight="1">
      <c r="M284" s="29"/>
      <c r="N284" s="29"/>
      <c r="O284" s="29"/>
      <c r="P284" s="29"/>
      <c r="Q284" s="29"/>
      <c r="R284" s="29"/>
    </row>
    <row r="285" spans="13:18" ht="8.25" customHeight="1">
      <c r="M285" s="29"/>
      <c r="N285" s="29"/>
      <c r="O285" s="29"/>
      <c r="P285" s="29"/>
      <c r="Q285" s="29"/>
      <c r="R285" s="29"/>
    </row>
    <row r="286" spans="13:18" ht="8.25" customHeight="1">
      <c r="M286" s="29"/>
      <c r="N286" s="29"/>
      <c r="O286" s="29"/>
      <c r="P286" s="29"/>
      <c r="Q286" s="29"/>
      <c r="R286" s="29"/>
    </row>
    <row r="287" spans="13:18" ht="8.25" customHeight="1">
      <c r="M287" s="29"/>
      <c r="N287" s="29"/>
      <c r="O287" s="29"/>
      <c r="P287" s="29"/>
      <c r="Q287" s="29"/>
      <c r="R287" s="29"/>
    </row>
    <row r="288" spans="13:18" ht="8.25" customHeight="1">
      <c r="M288" s="29"/>
      <c r="N288" s="29"/>
      <c r="O288" s="29"/>
      <c r="P288" s="29"/>
      <c r="Q288" s="29"/>
      <c r="R288" s="29"/>
    </row>
    <row r="289" spans="13:18" ht="8.25" customHeight="1">
      <c r="M289" s="29"/>
      <c r="N289" s="29"/>
      <c r="O289" s="29"/>
      <c r="P289" s="29"/>
      <c r="Q289" s="29"/>
      <c r="R289" s="29"/>
    </row>
    <row r="290" spans="13:18" ht="8.25" customHeight="1">
      <c r="M290" s="29"/>
      <c r="N290" s="29"/>
      <c r="O290" s="29"/>
      <c r="P290" s="29"/>
      <c r="Q290" s="29"/>
      <c r="R290" s="29"/>
    </row>
    <row r="291" spans="13:18" ht="8.25" customHeight="1">
      <c r="M291" s="29"/>
      <c r="N291" s="29"/>
      <c r="O291" s="29"/>
      <c r="P291" s="29"/>
      <c r="Q291" s="29"/>
      <c r="R291" s="29"/>
    </row>
    <row r="292" spans="13:18" ht="8.25" customHeight="1">
      <c r="M292" s="29"/>
      <c r="N292" s="29"/>
      <c r="O292" s="29"/>
      <c r="P292" s="29"/>
      <c r="Q292" s="29"/>
      <c r="R292" s="29"/>
    </row>
    <row r="293" spans="13:18" ht="8.25" customHeight="1">
      <c r="M293" s="29"/>
      <c r="N293" s="29"/>
      <c r="O293" s="29"/>
      <c r="P293" s="29"/>
      <c r="Q293" s="29"/>
      <c r="R293" s="29"/>
    </row>
    <row r="294" spans="13:18" ht="8.25" customHeight="1">
      <c r="M294" s="29"/>
      <c r="N294" s="29"/>
      <c r="O294" s="29"/>
      <c r="P294" s="29"/>
      <c r="Q294" s="29"/>
      <c r="R294" s="29"/>
    </row>
    <row r="295" spans="13:18" ht="8.25" customHeight="1">
      <c r="M295" s="29"/>
      <c r="N295" s="29"/>
      <c r="O295" s="29"/>
      <c r="P295" s="29"/>
      <c r="Q295" s="29"/>
      <c r="R295" s="29"/>
    </row>
    <row r="296" spans="13:18" ht="8.25" customHeight="1">
      <c r="M296" s="29"/>
      <c r="N296" s="29"/>
      <c r="O296" s="29"/>
      <c r="P296" s="29"/>
      <c r="Q296" s="29"/>
      <c r="R296" s="29"/>
    </row>
    <row r="297" spans="13:18" ht="8.25" customHeight="1">
      <c r="M297" s="29"/>
      <c r="N297" s="29"/>
      <c r="O297" s="29"/>
      <c r="P297" s="29"/>
      <c r="Q297" s="29"/>
      <c r="R297" s="29"/>
    </row>
    <row r="298" spans="13:18" ht="8.25" customHeight="1">
      <c r="M298" s="29"/>
      <c r="N298" s="29"/>
      <c r="O298" s="29"/>
      <c r="P298" s="29"/>
      <c r="Q298" s="29"/>
      <c r="R298" s="29"/>
    </row>
    <row r="299" spans="13:18" ht="8.25" customHeight="1">
      <c r="M299" s="29"/>
      <c r="N299" s="29"/>
      <c r="O299" s="29"/>
      <c r="P299" s="29"/>
      <c r="Q299" s="29"/>
      <c r="R299" s="29"/>
    </row>
    <row r="300" spans="13:18" ht="8.25" customHeight="1">
      <c r="M300" s="29"/>
      <c r="N300" s="29"/>
      <c r="O300" s="29"/>
      <c r="P300" s="29"/>
      <c r="Q300" s="29"/>
      <c r="R300" s="29"/>
    </row>
    <row r="301" spans="13:18" ht="8.25" customHeight="1">
      <c r="M301" s="29"/>
      <c r="N301" s="29"/>
      <c r="O301" s="29"/>
      <c r="P301" s="29"/>
      <c r="Q301" s="29"/>
      <c r="R301" s="29"/>
    </row>
    <row r="302" spans="13:18" ht="8.25" customHeight="1">
      <c r="M302" s="29"/>
      <c r="N302" s="29"/>
      <c r="O302" s="29"/>
      <c r="P302" s="29"/>
      <c r="Q302" s="29"/>
      <c r="R302" s="29"/>
    </row>
    <row r="303" spans="13:18" ht="8.25" customHeight="1">
      <c r="M303" s="29"/>
      <c r="N303" s="29"/>
      <c r="O303" s="29"/>
      <c r="P303" s="29"/>
      <c r="Q303" s="29"/>
      <c r="R303" s="29"/>
    </row>
    <row r="304" spans="13:18" ht="8.25" customHeight="1">
      <c r="M304" s="29"/>
      <c r="N304" s="29"/>
      <c r="O304" s="29"/>
      <c r="P304" s="29"/>
      <c r="Q304" s="29"/>
      <c r="R304" s="29"/>
    </row>
    <row r="305" spans="13:18" ht="8.25" customHeight="1">
      <c r="M305" s="29"/>
      <c r="N305" s="29"/>
      <c r="O305" s="29"/>
      <c r="P305" s="29"/>
      <c r="Q305" s="29"/>
      <c r="R305" s="29"/>
    </row>
    <row r="306" spans="13:18" ht="8.25" customHeight="1">
      <c r="M306" s="29"/>
      <c r="N306" s="29"/>
      <c r="O306" s="29"/>
      <c r="P306" s="29"/>
      <c r="Q306" s="29"/>
      <c r="R306" s="29"/>
    </row>
    <row r="307" spans="13:18" ht="8.25" customHeight="1">
      <c r="M307" s="29"/>
      <c r="N307" s="29"/>
      <c r="O307" s="29"/>
      <c r="P307" s="29"/>
      <c r="Q307" s="29"/>
      <c r="R307" s="29"/>
    </row>
    <row r="308" spans="13:18" ht="8.25" customHeight="1">
      <c r="M308" s="29"/>
      <c r="N308" s="29"/>
      <c r="O308" s="29"/>
      <c r="P308" s="29"/>
      <c r="Q308" s="29"/>
      <c r="R308" s="29"/>
    </row>
    <row r="309" spans="13:18" ht="8.25" customHeight="1">
      <c r="M309" s="29"/>
      <c r="N309" s="29"/>
      <c r="O309" s="29"/>
      <c r="P309" s="29"/>
      <c r="Q309" s="29"/>
      <c r="R309" s="29"/>
    </row>
    <row r="310" spans="13:18" ht="8.25" customHeight="1">
      <c r="M310" s="29"/>
      <c r="N310" s="29"/>
      <c r="O310" s="29"/>
      <c r="P310" s="29"/>
      <c r="Q310" s="29"/>
      <c r="R310" s="29"/>
    </row>
    <row r="311" spans="13:18" ht="8.25" customHeight="1">
      <c r="M311" s="29"/>
      <c r="N311" s="29"/>
      <c r="O311" s="29"/>
      <c r="P311" s="29"/>
      <c r="Q311" s="29"/>
      <c r="R311" s="29"/>
    </row>
    <row r="312" spans="13:18" ht="8.25" customHeight="1">
      <c r="M312" s="29"/>
      <c r="N312" s="29"/>
      <c r="O312" s="29"/>
      <c r="P312" s="29"/>
      <c r="Q312" s="29"/>
      <c r="R312" s="29"/>
    </row>
    <row r="313" spans="13:18" ht="8.25" customHeight="1">
      <c r="M313" s="29"/>
      <c r="N313" s="29"/>
      <c r="O313" s="29"/>
      <c r="P313" s="29"/>
      <c r="Q313" s="29"/>
      <c r="R313" s="29"/>
    </row>
    <row r="314" spans="13:18" ht="8.25" customHeight="1">
      <c r="M314" s="29"/>
      <c r="N314" s="29"/>
      <c r="O314" s="29"/>
      <c r="P314" s="29"/>
      <c r="Q314" s="29"/>
      <c r="R314" s="29"/>
    </row>
    <row r="315" spans="13:18" ht="8.25" customHeight="1">
      <c r="M315" s="29"/>
      <c r="N315" s="29"/>
      <c r="O315" s="29"/>
      <c r="P315" s="29"/>
      <c r="Q315" s="29"/>
      <c r="R315" s="29"/>
    </row>
    <row r="316" spans="13:18" ht="8.25" customHeight="1">
      <c r="M316" s="29"/>
      <c r="N316" s="29"/>
      <c r="O316" s="29"/>
      <c r="P316" s="29"/>
      <c r="Q316" s="29"/>
      <c r="R316" s="29"/>
    </row>
    <row r="317" spans="13:18" ht="8.25" customHeight="1">
      <c r="M317" s="29"/>
      <c r="N317" s="29"/>
      <c r="O317" s="29"/>
      <c r="P317" s="29"/>
      <c r="Q317" s="29"/>
      <c r="R317" s="29"/>
    </row>
    <row r="318" spans="13:18" ht="8.25" customHeight="1">
      <c r="M318" s="29"/>
      <c r="N318" s="29"/>
      <c r="O318" s="29"/>
      <c r="P318" s="29"/>
      <c r="Q318" s="29"/>
      <c r="R318" s="29"/>
    </row>
    <row r="319" spans="13:18" ht="8.25" customHeight="1">
      <c r="M319" s="29"/>
      <c r="N319" s="29"/>
      <c r="O319" s="29"/>
      <c r="P319" s="29"/>
      <c r="Q319" s="29"/>
      <c r="R319" s="29"/>
    </row>
    <row r="320" spans="13:18" ht="8.25" customHeight="1">
      <c r="M320" s="29"/>
      <c r="N320" s="29"/>
      <c r="O320" s="29"/>
      <c r="P320" s="29"/>
      <c r="Q320" s="29"/>
      <c r="R320" s="29"/>
    </row>
    <row r="321" spans="13:18" ht="8.25" customHeight="1">
      <c r="M321" s="29"/>
      <c r="N321" s="29"/>
      <c r="O321" s="29"/>
      <c r="P321" s="29"/>
      <c r="Q321" s="29"/>
      <c r="R321" s="29"/>
    </row>
    <row r="322" spans="13:18" ht="8.25" customHeight="1">
      <c r="M322" s="29"/>
      <c r="N322" s="29"/>
      <c r="O322" s="29"/>
      <c r="P322" s="29"/>
      <c r="Q322" s="29"/>
      <c r="R322" s="29"/>
    </row>
    <row r="323" spans="13:18" ht="8.25" customHeight="1">
      <c r="M323" s="29"/>
      <c r="N323" s="29"/>
      <c r="O323" s="29"/>
      <c r="P323" s="29"/>
      <c r="Q323" s="29"/>
      <c r="R323" s="29"/>
    </row>
    <row r="324" spans="13:18" ht="8.25" customHeight="1">
      <c r="M324" s="29"/>
      <c r="N324" s="29"/>
      <c r="O324" s="29"/>
      <c r="P324" s="29"/>
      <c r="Q324" s="29"/>
      <c r="R324" s="29"/>
    </row>
    <row r="325" spans="13:18" ht="8.25" customHeight="1">
      <c r="M325" s="29"/>
      <c r="N325" s="29"/>
      <c r="O325" s="29"/>
      <c r="P325" s="29"/>
      <c r="Q325" s="29"/>
      <c r="R325" s="29"/>
    </row>
    <row r="326" spans="13:18" ht="8.25" customHeight="1">
      <c r="M326" s="29"/>
      <c r="N326" s="29"/>
      <c r="O326" s="29"/>
      <c r="P326" s="29"/>
      <c r="Q326" s="29"/>
      <c r="R326" s="29"/>
    </row>
    <row r="327" spans="13:18" ht="8.25" customHeight="1">
      <c r="M327" s="29"/>
      <c r="N327" s="29"/>
      <c r="O327" s="29"/>
      <c r="P327" s="29"/>
      <c r="Q327" s="29"/>
      <c r="R327" s="29"/>
    </row>
    <row r="328" spans="13:18" ht="8.25" customHeight="1">
      <c r="M328" s="29"/>
      <c r="N328" s="29"/>
      <c r="O328" s="29"/>
      <c r="P328" s="29"/>
      <c r="Q328" s="29"/>
      <c r="R328" s="29"/>
    </row>
    <row r="329" spans="13:18" ht="8.25" customHeight="1">
      <c r="M329" s="29"/>
      <c r="N329" s="29"/>
      <c r="O329" s="29"/>
      <c r="P329" s="29"/>
      <c r="Q329" s="29"/>
      <c r="R329" s="29"/>
    </row>
    <row r="330" spans="13:18" ht="8.25" customHeight="1">
      <c r="M330" s="29"/>
      <c r="N330" s="29"/>
      <c r="O330" s="29"/>
      <c r="P330" s="29"/>
      <c r="Q330" s="29"/>
      <c r="R330" s="29"/>
    </row>
    <row r="331" spans="13:18" ht="8.25" customHeight="1">
      <c r="M331" s="29"/>
      <c r="N331" s="29"/>
      <c r="O331" s="29"/>
      <c r="P331" s="29"/>
      <c r="Q331" s="29"/>
      <c r="R331" s="29"/>
    </row>
    <row r="332" spans="13:18" ht="8.25" customHeight="1">
      <c r="M332" s="29"/>
      <c r="N332" s="29"/>
      <c r="O332" s="29"/>
      <c r="P332" s="29"/>
      <c r="Q332" s="29"/>
      <c r="R332" s="29"/>
    </row>
    <row r="333" spans="13:18" ht="8.25" customHeight="1">
      <c r="M333" s="29"/>
      <c r="N333" s="29"/>
      <c r="O333" s="29"/>
      <c r="P333" s="29"/>
      <c r="Q333" s="29"/>
      <c r="R333" s="29"/>
    </row>
    <row r="334" spans="13:18" ht="8.25" customHeight="1">
      <c r="M334" s="29"/>
      <c r="N334" s="29"/>
      <c r="O334" s="29"/>
      <c r="P334" s="29"/>
      <c r="Q334" s="29"/>
      <c r="R334" s="29"/>
    </row>
    <row r="335" spans="13:18" ht="8.25" customHeight="1">
      <c r="M335" s="29"/>
      <c r="N335" s="29"/>
      <c r="O335" s="29"/>
      <c r="P335" s="29"/>
      <c r="Q335" s="29"/>
      <c r="R335" s="29"/>
    </row>
    <row r="336" spans="13:18" ht="8.25" customHeight="1">
      <c r="M336" s="29"/>
      <c r="N336" s="29"/>
      <c r="O336" s="29"/>
      <c r="P336" s="29"/>
      <c r="Q336" s="29"/>
      <c r="R336" s="29"/>
    </row>
    <row r="337" spans="13:18" ht="8.25" customHeight="1">
      <c r="M337" s="29"/>
      <c r="N337" s="29"/>
      <c r="O337" s="29"/>
      <c r="P337" s="29"/>
      <c r="Q337" s="29"/>
      <c r="R337" s="29"/>
    </row>
    <row r="338" spans="13:18" ht="8.25" customHeight="1">
      <c r="M338" s="29"/>
      <c r="N338" s="29"/>
      <c r="O338" s="29"/>
      <c r="P338" s="29"/>
      <c r="Q338" s="29"/>
      <c r="R338" s="29"/>
    </row>
    <row r="339" spans="13:18" ht="8.25" customHeight="1">
      <c r="M339" s="29"/>
      <c r="N339" s="29"/>
      <c r="O339" s="29"/>
      <c r="P339" s="29"/>
      <c r="Q339" s="29"/>
      <c r="R339" s="29"/>
    </row>
    <row r="340" spans="13:18" ht="8.25" customHeight="1">
      <c r="M340" s="29"/>
      <c r="N340" s="29"/>
      <c r="O340" s="29"/>
      <c r="P340" s="29"/>
      <c r="Q340" s="29"/>
      <c r="R340" s="29"/>
    </row>
    <row r="341" spans="13:18" ht="8.25" customHeight="1">
      <c r="M341" s="29"/>
      <c r="N341" s="29"/>
      <c r="O341" s="29"/>
      <c r="P341" s="29"/>
      <c r="Q341" s="29"/>
      <c r="R341" s="29"/>
    </row>
    <row r="342" spans="13:18" ht="8.25" customHeight="1">
      <c r="M342" s="29"/>
      <c r="N342" s="29"/>
      <c r="O342" s="29"/>
      <c r="P342" s="29"/>
      <c r="Q342" s="29"/>
      <c r="R342" s="29"/>
    </row>
    <row r="343" spans="13:18" ht="8.25" customHeight="1">
      <c r="M343" s="29"/>
      <c r="N343" s="29"/>
      <c r="O343" s="29"/>
      <c r="P343" s="29"/>
      <c r="Q343" s="29"/>
      <c r="R343" s="29"/>
    </row>
    <row r="344" spans="13:18" ht="8.25" customHeight="1">
      <c r="M344" s="29"/>
      <c r="N344" s="29"/>
      <c r="O344" s="29"/>
      <c r="P344" s="29"/>
      <c r="Q344" s="29"/>
      <c r="R344" s="29"/>
    </row>
    <row r="345" spans="13:18" ht="8.25" customHeight="1">
      <c r="M345" s="29"/>
      <c r="N345" s="29"/>
      <c r="O345" s="29"/>
      <c r="P345" s="29"/>
      <c r="Q345" s="29"/>
      <c r="R345" s="29"/>
    </row>
    <row r="346" spans="13:18" ht="8.25" customHeight="1">
      <c r="M346" s="29"/>
      <c r="N346" s="29"/>
      <c r="O346" s="29"/>
      <c r="P346" s="29"/>
      <c r="Q346" s="29"/>
      <c r="R346" s="29"/>
    </row>
    <row r="347" spans="13:18" ht="8.25" customHeight="1">
      <c r="M347" s="29"/>
      <c r="N347" s="29"/>
      <c r="O347" s="29"/>
      <c r="P347" s="29"/>
      <c r="Q347" s="29"/>
      <c r="R347" s="29"/>
    </row>
    <row r="348" spans="13:18" ht="8.25" customHeight="1">
      <c r="M348" s="29"/>
      <c r="N348" s="29"/>
      <c r="O348" s="29"/>
      <c r="P348" s="29"/>
      <c r="Q348" s="29"/>
      <c r="R348" s="29"/>
    </row>
    <row r="349" spans="13:18" ht="8.25" customHeight="1">
      <c r="M349" s="29"/>
      <c r="N349" s="29"/>
      <c r="O349" s="29"/>
      <c r="P349" s="29"/>
      <c r="Q349" s="29"/>
      <c r="R349" s="29"/>
    </row>
    <row r="350" spans="13:18" ht="8.25" customHeight="1">
      <c r="M350" s="29"/>
      <c r="N350" s="29"/>
      <c r="O350" s="29"/>
      <c r="P350" s="29"/>
      <c r="Q350" s="29"/>
      <c r="R350" s="29"/>
    </row>
    <row r="351" spans="13:18" ht="8.25" customHeight="1">
      <c r="M351" s="29"/>
      <c r="N351" s="29"/>
      <c r="O351" s="29"/>
      <c r="P351" s="29"/>
      <c r="Q351" s="29"/>
      <c r="R351" s="29"/>
    </row>
    <row r="352" spans="13:18" ht="8.25" customHeight="1">
      <c r="M352" s="29"/>
      <c r="N352" s="29"/>
      <c r="O352" s="29"/>
      <c r="P352" s="29"/>
      <c r="Q352" s="29"/>
      <c r="R352" s="29"/>
    </row>
    <row r="353" spans="13:18" ht="8.25" customHeight="1">
      <c r="M353" s="29"/>
      <c r="N353" s="29"/>
      <c r="O353" s="29"/>
      <c r="P353" s="29"/>
      <c r="Q353" s="29"/>
      <c r="R353" s="29"/>
    </row>
    <row r="354" spans="13:18" ht="8.25" customHeight="1">
      <c r="M354" s="29"/>
      <c r="N354" s="29"/>
      <c r="O354" s="29"/>
      <c r="P354" s="29"/>
      <c r="Q354" s="29"/>
      <c r="R354" s="29"/>
    </row>
    <row r="355" spans="13:18" ht="8.25" customHeight="1">
      <c r="M355" s="29"/>
      <c r="N355" s="29"/>
      <c r="O355" s="29"/>
      <c r="P355" s="29"/>
      <c r="Q355" s="29"/>
      <c r="R355" s="29"/>
    </row>
    <row r="356" spans="13:18" ht="8.25" customHeight="1">
      <c r="M356" s="29"/>
      <c r="N356" s="29"/>
      <c r="O356" s="29"/>
      <c r="P356" s="29"/>
      <c r="Q356" s="29"/>
      <c r="R356" s="29"/>
    </row>
    <row r="357" spans="13:18" ht="8.25" customHeight="1">
      <c r="M357" s="29"/>
      <c r="N357" s="29"/>
      <c r="O357" s="29"/>
      <c r="P357" s="29"/>
      <c r="Q357" s="29"/>
      <c r="R357" s="29"/>
    </row>
    <row r="358" spans="13:18" ht="8.25" customHeight="1">
      <c r="M358" s="29"/>
      <c r="N358" s="29"/>
      <c r="O358" s="29"/>
      <c r="P358" s="29"/>
      <c r="Q358" s="29"/>
      <c r="R358" s="29"/>
    </row>
    <row r="359" spans="13:18" ht="8.25" customHeight="1">
      <c r="M359" s="29"/>
      <c r="N359" s="29"/>
      <c r="O359" s="29"/>
      <c r="P359" s="29"/>
      <c r="Q359" s="29"/>
      <c r="R359" s="29"/>
    </row>
    <row r="360" spans="13:18" ht="8.25" customHeight="1">
      <c r="M360" s="29"/>
      <c r="N360" s="29"/>
      <c r="O360" s="29"/>
      <c r="P360" s="29"/>
      <c r="Q360" s="29"/>
      <c r="R360" s="29"/>
    </row>
    <row r="361" spans="13:18" ht="8.25" customHeight="1">
      <c r="M361" s="29"/>
      <c r="N361" s="29"/>
      <c r="O361" s="29"/>
      <c r="P361" s="29"/>
      <c r="Q361" s="29"/>
      <c r="R361" s="29"/>
    </row>
    <row r="362" spans="13:18" ht="8.25" customHeight="1">
      <c r="M362" s="29"/>
      <c r="N362" s="29"/>
      <c r="O362" s="29"/>
      <c r="P362" s="29"/>
      <c r="Q362" s="29"/>
      <c r="R362" s="29"/>
    </row>
    <row r="363" spans="13:18" ht="8.25" customHeight="1">
      <c r="M363" s="29"/>
      <c r="N363" s="29"/>
      <c r="O363" s="29"/>
      <c r="P363" s="29"/>
      <c r="Q363" s="29"/>
      <c r="R363" s="29"/>
    </row>
    <row r="364" spans="13:18" ht="8.25" customHeight="1">
      <c r="M364" s="29"/>
      <c r="N364" s="29"/>
      <c r="O364" s="29"/>
      <c r="P364" s="29"/>
      <c r="Q364" s="29"/>
      <c r="R364" s="29"/>
    </row>
    <row r="365" spans="13:18" ht="8.25" customHeight="1">
      <c r="M365" s="29"/>
      <c r="N365" s="29"/>
      <c r="O365" s="29"/>
      <c r="P365" s="29"/>
      <c r="Q365" s="29"/>
      <c r="R365" s="29"/>
    </row>
    <row r="366" spans="13:18" ht="8.25" customHeight="1">
      <c r="M366" s="29"/>
      <c r="N366" s="29"/>
      <c r="O366" s="29"/>
      <c r="P366" s="29"/>
      <c r="Q366" s="29"/>
      <c r="R366" s="29"/>
    </row>
    <row r="367" spans="13:18" ht="8.25" customHeight="1">
      <c r="M367" s="29"/>
      <c r="N367" s="29"/>
      <c r="O367" s="29"/>
      <c r="P367" s="29"/>
      <c r="Q367" s="29"/>
      <c r="R367" s="29"/>
    </row>
    <row r="368" spans="13:18" ht="8.25" customHeight="1">
      <c r="M368" s="29"/>
      <c r="N368" s="29"/>
      <c r="O368" s="29"/>
      <c r="P368" s="29"/>
      <c r="Q368" s="29"/>
      <c r="R368" s="29"/>
    </row>
    <row r="369" spans="13:18" ht="8.25" customHeight="1">
      <c r="M369" s="29"/>
      <c r="N369" s="29"/>
      <c r="O369" s="29"/>
      <c r="P369" s="29"/>
      <c r="Q369" s="29"/>
      <c r="R369" s="29"/>
    </row>
    <row r="370" spans="13:18" ht="8.25" customHeight="1">
      <c r="M370" s="29"/>
      <c r="N370" s="29"/>
      <c r="O370" s="29"/>
      <c r="P370" s="29"/>
      <c r="Q370" s="29"/>
      <c r="R370" s="29"/>
    </row>
    <row r="371" spans="13:18" ht="8.25" customHeight="1">
      <c r="M371" s="29"/>
      <c r="N371" s="29"/>
      <c r="O371" s="29"/>
      <c r="P371" s="29"/>
      <c r="Q371" s="29"/>
      <c r="R371" s="29"/>
    </row>
    <row r="372" spans="13:18" ht="8.25" customHeight="1">
      <c r="M372" s="29"/>
      <c r="N372" s="29"/>
      <c r="O372" s="29"/>
      <c r="P372" s="29"/>
      <c r="Q372" s="29"/>
      <c r="R372" s="29"/>
    </row>
    <row r="373" spans="13:18" ht="8.25" customHeight="1">
      <c r="M373" s="29"/>
      <c r="N373" s="29"/>
      <c r="O373" s="29"/>
      <c r="P373" s="29"/>
      <c r="Q373" s="29"/>
      <c r="R373" s="29"/>
    </row>
    <row r="374" spans="13:18" ht="8.25" customHeight="1">
      <c r="M374" s="29"/>
      <c r="N374" s="29"/>
      <c r="O374" s="29"/>
      <c r="P374" s="29"/>
      <c r="Q374" s="29"/>
      <c r="R374" s="29"/>
    </row>
    <row r="375" spans="13:18" ht="8.25" customHeight="1">
      <c r="M375" s="29"/>
      <c r="N375" s="29"/>
      <c r="O375" s="29"/>
      <c r="P375" s="29"/>
      <c r="Q375" s="29"/>
      <c r="R375" s="29"/>
    </row>
    <row r="376" spans="13:18" ht="8.25" customHeight="1">
      <c r="M376" s="29"/>
      <c r="N376" s="29"/>
      <c r="O376" s="29"/>
      <c r="P376" s="29"/>
      <c r="Q376" s="29"/>
      <c r="R376" s="29"/>
    </row>
    <row r="377" spans="13:18" ht="8.25" customHeight="1">
      <c r="M377" s="29"/>
      <c r="N377" s="29"/>
      <c r="O377" s="29"/>
      <c r="P377" s="29"/>
      <c r="Q377" s="29"/>
      <c r="R377" s="29"/>
    </row>
    <row r="378" spans="13:18" ht="8.25" customHeight="1">
      <c r="M378" s="29"/>
      <c r="N378" s="29"/>
      <c r="O378" s="29"/>
      <c r="P378" s="29"/>
      <c r="Q378" s="29"/>
      <c r="R378" s="29"/>
    </row>
    <row r="379" spans="13:18" ht="8.25" customHeight="1">
      <c r="M379" s="29"/>
      <c r="N379" s="29"/>
      <c r="O379" s="29"/>
      <c r="P379" s="29"/>
      <c r="Q379" s="29"/>
      <c r="R379" s="29"/>
    </row>
    <row r="380" spans="13:18" ht="8.25" customHeight="1">
      <c r="M380" s="29"/>
      <c r="N380" s="29"/>
      <c r="O380" s="29"/>
      <c r="P380" s="29"/>
      <c r="Q380" s="29"/>
      <c r="R380" s="29"/>
    </row>
    <row r="381" spans="13:18" ht="8.25" customHeight="1">
      <c r="M381" s="29"/>
      <c r="N381" s="29"/>
      <c r="O381" s="29"/>
      <c r="P381" s="29"/>
      <c r="Q381" s="29"/>
      <c r="R381" s="29"/>
    </row>
    <row r="382" spans="13:18" ht="8.25" customHeight="1">
      <c r="M382" s="29"/>
      <c r="N382" s="29"/>
      <c r="O382" s="29"/>
      <c r="P382" s="29"/>
      <c r="Q382" s="29"/>
      <c r="R382" s="29"/>
    </row>
    <row r="383" spans="13:18" ht="8.25" customHeight="1">
      <c r="M383" s="29"/>
      <c r="N383" s="29"/>
      <c r="O383" s="29"/>
      <c r="P383" s="29"/>
      <c r="Q383" s="29"/>
      <c r="R383" s="29"/>
    </row>
    <row r="384" spans="13:18" ht="8.25" customHeight="1">
      <c r="M384" s="29"/>
      <c r="N384" s="29"/>
      <c r="O384" s="29"/>
      <c r="P384" s="29"/>
      <c r="Q384" s="29"/>
      <c r="R384" s="29"/>
    </row>
    <row r="385" spans="13:18" ht="8.25" customHeight="1">
      <c r="M385" s="29"/>
      <c r="N385" s="29"/>
      <c r="O385" s="29"/>
      <c r="P385" s="29"/>
      <c r="Q385" s="29"/>
      <c r="R385" s="29"/>
    </row>
    <row r="386" spans="13:18" ht="8.25" customHeight="1">
      <c r="M386" s="29"/>
      <c r="N386" s="29"/>
      <c r="O386" s="29"/>
      <c r="P386" s="29"/>
      <c r="Q386" s="29"/>
      <c r="R386" s="29"/>
    </row>
    <row r="387" spans="13:18" ht="8.25" customHeight="1">
      <c r="M387" s="29"/>
      <c r="N387" s="29"/>
      <c r="O387" s="29"/>
      <c r="P387" s="29"/>
      <c r="Q387" s="29"/>
      <c r="R387" s="29"/>
    </row>
    <row r="388" spans="13:18" ht="8.25" customHeight="1">
      <c r="M388" s="29"/>
      <c r="N388" s="29"/>
      <c r="O388" s="29"/>
      <c r="P388" s="29"/>
      <c r="Q388" s="29"/>
      <c r="R388" s="29"/>
    </row>
    <row r="389" spans="13:18" ht="8.25" customHeight="1">
      <c r="M389" s="29"/>
      <c r="N389" s="29"/>
      <c r="O389" s="29"/>
      <c r="P389" s="29"/>
      <c r="Q389" s="29"/>
      <c r="R389" s="29"/>
    </row>
    <row r="390" spans="13:18" ht="8.25" customHeight="1">
      <c r="M390" s="29"/>
      <c r="N390" s="29"/>
      <c r="O390" s="29"/>
      <c r="P390" s="29"/>
      <c r="Q390" s="29"/>
      <c r="R390" s="29"/>
    </row>
    <row r="391" spans="13:18" ht="8.25" customHeight="1">
      <c r="M391" s="29"/>
      <c r="N391" s="29"/>
      <c r="O391" s="29"/>
      <c r="P391" s="29"/>
      <c r="Q391" s="29"/>
      <c r="R391" s="29"/>
    </row>
    <row r="392" spans="13:18" ht="8.25" customHeight="1">
      <c r="M392" s="29"/>
      <c r="N392" s="29"/>
      <c r="O392" s="29"/>
      <c r="P392" s="29"/>
      <c r="Q392" s="29"/>
      <c r="R392" s="29"/>
    </row>
    <row r="393" spans="13:18" ht="8.25" customHeight="1">
      <c r="M393" s="29"/>
      <c r="N393" s="29"/>
      <c r="O393" s="29"/>
      <c r="P393" s="29"/>
      <c r="Q393" s="29"/>
      <c r="R393" s="29"/>
    </row>
    <row r="394" spans="13:18" ht="8.25" customHeight="1">
      <c r="M394" s="29"/>
      <c r="N394" s="29"/>
      <c r="O394" s="29"/>
      <c r="P394" s="29"/>
      <c r="Q394" s="29"/>
      <c r="R394" s="29"/>
    </row>
    <row r="395" spans="13:18" ht="8.25" customHeight="1">
      <c r="M395" s="29"/>
      <c r="N395" s="29"/>
      <c r="O395" s="29"/>
      <c r="P395" s="29"/>
      <c r="Q395" s="29"/>
      <c r="R395" s="29"/>
    </row>
    <row r="396" spans="13:18" ht="8.25" customHeight="1">
      <c r="M396" s="29"/>
      <c r="N396" s="29"/>
      <c r="O396" s="29"/>
      <c r="P396" s="29"/>
      <c r="Q396" s="29"/>
      <c r="R396" s="29"/>
    </row>
    <row r="397" spans="13:18" ht="8.25" customHeight="1">
      <c r="M397" s="29"/>
      <c r="N397" s="29"/>
      <c r="O397" s="29"/>
      <c r="P397" s="29"/>
      <c r="Q397" s="29"/>
      <c r="R397" s="29"/>
    </row>
    <row r="398" spans="13:18" ht="8.25" customHeight="1">
      <c r="M398" s="29"/>
      <c r="N398" s="29"/>
      <c r="O398" s="29"/>
      <c r="P398" s="29"/>
      <c r="Q398" s="29"/>
      <c r="R398" s="29"/>
    </row>
    <row r="399" spans="13:18" ht="8.25" customHeight="1">
      <c r="M399" s="29"/>
      <c r="N399" s="29"/>
      <c r="O399" s="29"/>
      <c r="P399" s="29"/>
      <c r="Q399" s="29"/>
      <c r="R399" s="29"/>
    </row>
    <row r="400" spans="13:18" ht="8.25" customHeight="1">
      <c r="M400" s="29"/>
      <c r="N400" s="29"/>
      <c r="O400" s="29"/>
      <c r="P400" s="29"/>
      <c r="Q400" s="29"/>
      <c r="R400" s="29"/>
    </row>
    <row r="401" spans="13:18" ht="8.25" customHeight="1">
      <c r="M401" s="29"/>
      <c r="N401" s="29"/>
      <c r="O401" s="29"/>
      <c r="P401" s="29"/>
      <c r="Q401" s="29"/>
      <c r="R401" s="29"/>
    </row>
    <row r="402" spans="13:18" ht="8.25" customHeight="1">
      <c r="M402" s="29"/>
      <c r="N402" s="29"/>
      <c r="O402" s="29"/>
      <c r="P402" s="29"/>
      <c r="Q402" s="29"/>
      <c r="R402" s="29"/>
    </row>
    <row r="403" spans="13:18" ht="8.25" customHeight="1">
      <c r="M403" s="29"/>
      <c r="N403" s="29"/>
      <c r="O403" s="29"/>
      <c r="P403" s="29"/>
      <c r="Q403" s="29"/>
      <c r="R403" s="29"/>
    </row>
    <row r="404" spans="13:18" ht="8.25" customHeight="1">
      <c r="M404" s="29"/>
      <c r="N404" s="29"/>
      <c r="O404" s="29"/>
      <c r="P404" s="29"/>
      <c r="Q404" s="29"/>
      <c r="R404" s="29"/>
    </row>
    <row r="405" spans="13:18" ht="8.25" customHeight="1">
      <c r="M405" s="29"/>
      <c r="N405" s="29"/>
      <c r="O405" s="29"/>
      <c r="P405" s="29"/>
      <c r="Q405" s="29"/>
      <c r="R405" s="29"/>
    </row>
    <row r="406" spans="13:18" ht="8.25" customHeight="1">
      <c r="M406" s="29"/>
      <c r="N406" s="29"/>
      <c r="O406" s="29"/>
      <c r="P406" s="29"/>
      <c r="Q406" s="29"/>
      <c r="R406" s="29"/>
    </row>
    <row r="407" spans="13:18" ht="8.25" customHeight="1">
      <c r="M407" s="29"/>
      <c r="N407" s="29"/>
      <c r="O407" s="29"/>
      <c r="P407" s="29"/>
      <c r="Q407" s="29"/>
      <c r="R407" s="29"/>
    </row>
    <row r="408" spans="13:18" ht="8.25" customHeight="1">
      <c r="M408" s="29"/>
      <c r="N408" s="29"/>
      <c r="O408" s="29"/>
      <c r="P408" s="29"/>
      <c r="Q408" s="29"/>
      <c r="R408" s="29"/>
    </row>
    <row r="409" spans="13:18" ht="8.25" customHeight="1">
      <c r="M409" s="29"/>
      <c r="N409" s="29"/>
      <c r="O409" s="29"/>
      <c r="P409" s="29"/>
      <c r="Q409" s="29"/>
      <c r="R409" s="29"/>
    </row>
    <row r="410" spans="13:18" ht="8.25" customHeight="1">
      <c r="M410" s="29"/>
      <c r="N410" s="29"/>
      <c r="O410" s="29"/>
      <c r="P410" s="29"/>
      <c r="Q410" s="29"/>
      <c r="R410" s="29"/>
    </row>
    <row r="411" spans="13:18" ht="8.25" customHeight="1">
      <c r="M411" s="29"/>
      <c r="N411" s="29"/>
      <c r="O411" s="29"/>
      <c r="P411" s="29"/>
      <c r="Q411" s="29"/>
      <c r="R411" s="29"/>
    </row>
    <row r="412" spans="13:18" ht="8.25" customHeight="1">
      <c r="M412" s="29"/>
      <c r="N412" s="29"/>
      <c r="O412" s="29"/>
      <c r="P412" s="29"/>
      <c r="Q412" s="29"/>
      <c r="R412" s="29"/>
    </row>
    <row r="413" spans="13:18" ht="8.25" customHeight="1">
      <c r="M413" s="29"/>
      <c r="N413" s="29"/>
      <c r="O413" s="29"/>
      <c r="P413" s="29"/>
      <c r="Q413" s="29"/>
      <c r="R413" s="29"/>
    </row>
    <row r="414" spans="13:18" ht="8.25" customHeight="1">
      <c r="M414" s="29"/>
      <c r="N414" s="29"/>
      <c r="O414" s="29"/>
      <c r="P414" s="29"/>
      <c r="Q414" s="29"/>
      <c r="R414" s="29"/>
    </row>
    <row r="415" spans="13:18" ht="8.25" customHeight="1">
      <c r="M415" s="29"/>
      <c r="N415" s="29"/>
      <c r="O415" s="29"/>
      <c r="P415" s="29"/>
      <c r="Q415" s="29"/>
      <c r="R415" s="29"/>
    </row>
    <row r="416" spans="13:18" ht="8.25" customHeight="1">
      <c r="M416" s="29"/>
      <c r="N416" s="29"/>
      <c r="O416" s="29"/>
      <c r="P416" s="29"/>
      <c r="Q416" s="29"/>
      <c r="R416" s="29"/>
    </row>
    <row r="417" spans="13:18" ht="8.25" customHeight="1">
      <c r="M417" s="29"/>
      <c r="N417" s="29"/>
      <c r="O417" s="29"/>
      <c r="P417" s="29"/>
      <c r="Q417" s="29"/>
      <c r="R417" s="29"/>
    </row>
    <row r="418" spans="13:18" ht="8.25" customHeight="1">
      <c r="M418" s="29"/>
      <c r="N418" s="29"/>
      <c r="O418" s="29"/>
      <c r="P418" s="29"/>
      <c r="Q418" s="29"/>
      <c r="R418" s="29"/>
    </row>
    <row r="419" spans="13:18" ht="8.25" customHeight="1">
      <c r="M419" s="29"/>
      <c r="N419" s="29"/>
      <c r="O419" s="29"/>
      <c r="P419" s="29"/>
      <c r="Q419" s="29"/>
      <c r="R419" s="29"/>
    </row>
    <row r="420" spans="13:18" ht="8.25" customHeight="1">
      <c r="M420" s="29"/>
      <c r="N420" s="29"/>
      <c r="O420" s="29"/>
      <c r="P420" s="29"/>
      <c r="Q420" s="29"/>
      <c r="R420" s="29"/>
    </row>
    <row r="421" spans="13:18" ht="8.25" customHeight="1">
      <c r="M421" s="29"/>
      <c r="N421" s="29"/>
      <c r="O421" s="29"/>
      <c r="P421" s="29"/>
      <c r="Q421" s="29"/>
      <c r="R421" s="29"/>
    </row>
    <row r="422" spans="13:18" ht="8.25" customHeight="1">
      <c r="M422" s="29"/>
      <c r="N422" s="29"/>
      <c r="O422" s="29"/>
      <c r="P422" s="29"/>
      <c r="Q422" s="29"/>
      <c r="R422" s="29"/>
    </row>
    <row r="423" spans="13:18" ht="8.25" customHeight="1">
      <c r="M423" s="29"/>
      <c r="N423" s="29"/>
      <c r="O423" s="29"/>
      <c r="P423" s="29"/>
      <c r="Q423" s="29"/>
      <c r="R423" s="29"/>
    </row>
    <row r="424" spans="13:18" ht="8.25" customHeight="1">
      <c r="M424" s="29"/>
      <c r="N424" s="29"/>
      <c r="O424" s="29"/>
      <c r="P424" s="29"/>
      <c r="Q424" s="29"/>
      <c r="R424" s="29"/>
    </row>
    <row r="425" spans="13:18" ht="8.25" customHeight="1">
      <c r="M425" s="29"/>
      <c r="N425" s="29"/>
      <c r="O425" s="29"/>
      <c r="P425" s="29"/>
      <c r="Q425" s="29"/>
      <c r="R425" s="29"/>
    </row>
    <row r="426" spans="13:18" ht="8.25" customHeight="1">
      <c r="M426" s="29"/>
      <c r="N426" s="29"/>
      <c r="O426" s="29"/>
      <c r="P426" s="29"/>
      <c r="Q426" s="29"/>
      <c r="R426" s="29"/>
    </row>
    <row r="427" spans="13:18" ht="8.25" customHeight="1">
      <c r="M427" s="29"/>
      <c r="N427" s="29"/>
      <c r="O427" s="29"/>
      <c r="P427" s="29"/>
      <c r="Q427" s="29"/>
      <c r="R427" s="29"/>
    </row>
    <row r="428" spans="13:18" ht="8.25" customHeight="1">
      <c r="M428" s="29"/>
      <c r="N428" s="29"/>
      <c r="O428" s="29"/>
      <c r="P428" s="29"/>
      <c r="Q428" s="29"/>
      <c r="R428" s="29"/>
    </row>
    <row r="429" spans="13:18" ht="8.25" customHeight="1">
      <c r="M429" s="29"/>
      <c r="N429" s="29"/>
      <c r="O429" s="29"/>
      <c r="P429" s="29"/>
      <c r="Q429" s="29"/>
      <c r="R429" s="29"/>
    </row>
    <row r="430" spans="13:18" ht="8.25" customHeight="1">
      <c r="M430" s="29"/>
      <c r="N430" s="29"/>
      <c r="O430" s="29"/>
      <c r="P430" s="29"/>
      <c r="Q430" s="29"/>
      <c r="R430" s="29"/>
    </row>
    <row r="431" spans="13:18" ht="8.25" customHeight="1">
      <c r="M431" s="29"/>
      <c r="N431" s="29"/>
      <c r="O431" s="29"/>
      <c r="P431" s="29"/>
      <c r="Q431" s="29"/>
      <c r="R431" s="29"/>
    </row>
    <row r="432" spans="13:18" ht="8.25" customHeight="1">
      <c r="M432" s="29"/>
      <c r="N432" s="29"/>
      <c r="O432" s="29"/>
      <c r="P432" s="29"/>
      <c r="Q432" s="29"/>
      <c r="R432" s="29"/>
    </row>
    <row r="433" spans="13:18" ht="8.25" customHeight="1">
      <c r="M433" s="29"/>
      <c r="N433" s="29"/>
      <c r="O433" s="29"/>
      <c r="P433" s="29"/>
      <c r="Q433" s="29"/>
      <c r="R433" s="29"/>
    </row>
    <row r="434" spans="13:18" ht="8.25" customHeight="1">
      <c r="M434" s="29"/>
      <c r="N434" s="29"/>
      <c r="O434" s="29"/>
      <c r="P434" s="29"/>
      <c r="Q434" s="29"/>
      <c r="R434" s="29"/>
    </row>
    <row r="435" spans="13:18" ht="8.25" customHeight="1">
      <c r="M435" s="29"/>
      <c r="N435" s="29"/>
      <c r="O435" s="29"/>
      <c r="P435" s="29"/>
      <c r="Q435" s="29"/>
      <c r="R435" s="29"/>
    </row>
    <row r="436" spans="13:18" ht="8.25" customHeight="1">
      <c r="M436" s="29"/>
      <c r="N436" s="29"/>
      <c r="O436" s="29"/>
      <c r="P436" s="29"/>
      <c r="Q436" s="29"/>
      <c r="R436" s="29"/>
    </row>
    <row r="437" spans="13:18" ht="8.25" customHeight="1">
      <c r="M437" s="29"/>
      <c r="N437" s="29"/>
      <c r="O437" s="29"/>
      <c r="P437" s="29"/>
      <c r="Q437" s="29"/>
      <c r="R437" s="29"/>
    </row>
    <row r="438" spans="13:18" ht="8.25" customHeight="1">
      <c r="M438" s="29"/>
      <c r="N438" s="29"/>
      <c r="O438" s="29"/>
      <c r="P438" s="29"/>
      <c r="Q438" s="29"/>
      <c r="R438" s="29"/>
    </row>
    <row r="439" spans="13:18" ht="8.25" customHeight="1">
      <c r="M439" s="29"/>
      <c r="N439" s="29"/>
      <c r="O439" s="29"/>
      <c r="P439" s="29"/>
      <c r="Q439" s="29"/>
      <c r="R439" s="29"/>
    </row>
    <row r="440" spans="13:18" ht="8.25" customHeight="1">
      <c r="M440" s="29"/>
      <c r="N440" s="29"/>
      <c r="O440" s="29"/>
      <c r="P440" s="29"/>
      <c r="Q440" s="29"/>
      <c r="R440" s="29"/>
    </row>
    <row r="441" spans="13:18" ht="8.25" customHeight="1">
      <c r="M441" s="29"/>
      <c r="N441" s="29"/>
      <c r="O441" s="29"/>
      <c r="P441" s="29"/>
      <c r="Q441" s="29"/>
      <c r="R441" s="29"/>
    </row>
    <row r="442" spans="13:18" ht="8.25" customHeight="1">
      <c r="M442" s="29"/>
      <c r="N442" s="29"/>
      <c r="O442" s="29"/>
      <c r="P442" s="29"/>
      <c r="Q442" s="29"/>
      <c r="R442" s="29"/>
    </row>
    <row r="443" spans="13:18" ht="8.25" customHeight="1">
      <c r="M443" s="29"/>
      <c r="N443" s="29"/>
      <c r="O443" s="29"/>
      <c r="P443" s="29"/>
      <c r="Q443" s="29"/>
      <c r="R443" s="29"/>
    </row>
    <row r="444" spans="13:18" ht="8.25" customHeight="1">
      <c r="M444" s="29"/>
      <c r="N444" s="29"/>
      <c r="O444" s="29"/>
      <c r="P444" s="29"/>
      <c r="Q444" s="29"/>
      <c r="R444" s="29"/>
    </row>
    <row r="445" spans="13:18" ht="8.25" customHeight="1">
      <c r="M445" s="29"/>
      <c r="N445" s="29"/>
      <c r="O445" s="29"/>
      <c r="P445" s="29"/>
      <c r="Q445" s="29"/>
      <c r="R445" s="29"/>
    </row>
    <row r="446" spans="13:18" ht="8.25" customHeight="1">
      <c r="M446" s="29"/>
      <c r="N446" s="29"/>
      <c r="O446" s="29"/>
      <c r="P446" s="29"/>
      <c r="Q446" s="29"/>
      <c r="R446" s="29"/>
    </row>
    <row r="447" spans="13:18" ht="8.25" customHeight="1">
      <c r="M447" s="29"/>
      <c r="N447" s="29"/>
      <c r="O447" s="29"/>
      <c r="P447" s="29"/>
      <c r="Q447" s="29"/>
      <c r="R447" s="29"/>
    </row>
    <row r="448" spans="13:18" ht="8.25" customHeight="1">
      <c r="M448" s="29"/>
      <c r="N448" s="29"/>
      <c r="O448" s="29"/>
      <c r="P448" s="29"/>
      <c r="Q448" s="29"/>
      <c r="R448" s="29"/>
    </row>
    <row r="449" spans="13:18" ht="8.25" customHeight="1">
      <c r="M449" s="29"/>
      <c r="N449" s="29"/>
      <c r="O449" s="29"/>
      <c r="P449" s="29"/>
      <c r="Q449" s="29"/>
      <c r="R449" s="29"/>
    </row>
    <row r="450" spans="13:18" ht="8.25" customHeight="1">
      <c r="M450" s="29"/>
      <c r="N450" s="29"/>
      <c r="O450" s="29"/>
      <c r="P450" s="29"/>
      <c r="Q450" s="29"/>
      <c r="R450" s="29"/>
    </row>
    <row r="451" spans="13:18" ht="8.25" customHeight="1">
      <c r="M451" s="29"/>
      <c r="N451" s="29"/>
      <c r="O451" s="29"/>
      <c r="P451" s="29"/>
      <c r="Q451" s="29"/>
      <c r="R451" s="29"/>
    </row>
    <row r="452" spans="13:18" ht="8.25" customHeight="1">
      <c r="M452" s="29"/>
      <c r="N452" s="29"/>
      <c r="O452" s="29"/>
      <c r="P452" s="29"/>
      <c r="Q452" s="29"/>
      <c r="R452" s="29"/>
    </row>
    <row r="453" spans="13:18" ht="8.25" customHeight="1">
      <c r="M453" s="29"/>
      <c r="N453" s="29"/>
      <c r="O453" s="29"/>
      <c r="P453" s="29"/>
      <c r="Q453" s="29"/>
      <c r="R453" s="29"/>
    </row>
    <row r="454" spans="13:18" ht="8.25" customHeight="1">
      <c r="M454" s="29"/>
      <c r="N454" s="29"/>
      <c r="O454" s="29"/>
      <c r="P454" s="29"/>
      <c r="Q454" s="29"/>
      <c r="R454" s="29"/>
    </row>
    <row r="455" spans="13:18" ht="8.25" customHeight="1">
      <c r="M455" s="29"/>
      <c r="N455" s="29"/>
      <c r="O455" s="29"/>
      <c r="P455" s="29"/>
      <c r="Q455" s="29"/>
      <c r="R455" s="29"/>
    </row>
    <row r="456" spans="13:18" ht="8.25" customHeight="1">
      <c r="M456" s="29"/>
      <c r="N456" s="29"/>
      <c r="O456" s="29"/>
      <c r="P456" s="29"/>
      <c r="Q456" s="29"/>
      <c r="R456" s="29"/>
    </row>
    <row r="457" spans="13:18" ht="8.25" customHeight="1">
      <c r="M457" s="29"/>
      <c r="N457" s="29"/>
      <c r="O457" s="29"/>
      <c r="P457" s="29"/>
      <c r="Q457" s="29"/>
      <c r="R457" s="29"/>
    </row>
    <row r="458" spans="13:18" ht="8.25" customHeight="1">
      <c r="M458" s="29"/>
      <c r="N458" s="29"/>
      <c r="O458" s="29"/>
      <c r="P458" s="29"/>
      <c r="Q458" s="29"/>
      <c r="R458" s="29"/>
    </row>
    <row r="459" spans="13:18" ht="8.25" customHeight="1">
      <c r="M459" s="29"/>
      <c r="N459" s="29"/>
      <c r="O459" s="29"/>
      <c r="P459" s="29"/>
      <c r="Q459" s="29"/>
      <c r="R459" s="29"/>
    </row>
    <row r="460" spans="13:18" ht="8.25" customHeight="1">
      <c r="M460" s="29"/>
      <c r="N460" s="29"/>
      <c r="O460" s="29"/>
      <c r="P460" s="29"/>
      <c r="Q460" s="29"/>
      <c r="R460" s="29"/>
    </row>
    <row r="461" spans="13:18" ht="8.25" customHeight="1">
      <c r="M461" s="29"/>
      <c r="N461" s="29"/>
      <c r="O461" s="29"/>
      <c r="P461" s="29"/>
      <c r="Q461" s="29"/>
      <c r="R461" s="29"/>
    </row>
    <row r="462" spans="13:18" ht="8.25" customHeight="1">
      <c r="M462" s="29"/>
      <c r="N462" s="29"/>
      <c r="O462" s="29"/>
      <c r="P462" s="29"/>
      <c r="Q462" s="29"/>
      <c r="R462" s="29"/>
    </row>
    <row r="463" spans="13:18" ht="8.25" customHeight="1">
      <c r="M463" s="29"/>
      <c r="N463" s="29"/>
      <c r="O463" s="29"/>
      <c r="P463" s="29"/>
      <c r="Q463" s="29"/>
      <c r="R463" s="29"/>
    </row>
    <row r="464" spans="13:18" ht="8.25" customHeight="1">
      <c r="M464" s="29"/>
      <c r="N464" s="29"/>
      <c r="O464" s="29"/>
      <c r="P464" s="29"/>
      <c r="Q464" s="29"/>
      <c r="R464" s="29"/>
    </row>
    <row r="465" spans="13:18" ht="8.25" customHeight="1">
      <c r="M465" s="29"/>
      <c r="N465" s="29"/>
      <c r="O465" s="29"/>
      <c r="P465" s="29"/>
      <c r="Q465" s="29"/>
      <c r="R465" s="29"/>
    </row>
    <row r="466" spans="13:18" ht="8.25" customHeight="1">
      <c r="M466" s="29"/>
      <c r="N466" s="29"/>
      <c r="O466" s="29"/>
      <c r="P466" s="29"/>
      <c r="Q466" s="29"/>
      <c r="R466" s="29"/>
    </row>
    <row r="467" spans="13:18" ht="8.25" customHeight="1">
      <c r="M467" s="29"/>
      <c r="N467" s="29"/>
      <c r="O467" s="29"/>
      <c r="P467" s="29"/>
      <c r="Q467" s="29"/>
      <c r="R467" s="29"/>
    </row>
    <row r="468" spans="13:18" ht="8.25" customHeight="1">
      <c r="M468" s="29"/>
      <c r="N468" s="29"/>
      <c r="O468" s="29"/>
      <c r="P468" s="29"/>
      <c r="Q468" s="29"/>
      <c r="R468" s="29"/>
    </row>
    <row r="469" spans="13:18" ht="8.25" customHeight="1">
      <c r="M469" s="29"/>
      <c r="N469" s="29"/>
      <c r="O469" s="29"/>
      <c r="P469" s="29"/>
      <c r="Q469" s="29"/>
      <c r="R469" s="29"/>
    </row>
    <row r="470" spans="13:18" ht="8.25" customHeight="1">
      <c r="M470" s="29"/>
      <c r="N470" s="29"/>
      <c r="O470" s="29"/>
      <c r="P470" s="29"/>
      <c r="Q470" s="29"/>
      <c r="R470" s="29"/>
    </row>
    <row r="471" spans="13:18" ht="8.25" customHeight="1">
      <c r="M471" s="29"/>
      <c r="N471" s="29"/>
      <c r="O471" s="29"/>
      <c r="P471" s="29"/>
      <c r="Q471" s="29"/>
      <c r="R471" s="29"/>
    </row>
    <row r="472" spans="13:18" ht="8.25" customHeight="1">
      <c r="M472" s="29"/>
      <c r="N472" s="29"/>
      <c r="O472" s="29"/>
      <c r="P472" s="29"/>
      <c r="Q472" s="29"/>
      <c r="R472" s="29"/>
    </row>
    <row r="473" spans="13:18" ht="8.25" customHeight="1">
      <c r="M473" s="29"/>
      <c r="N473" s="29"/>
      <c r="O473" s="29"/>
      <c r="P473" s="29"/>
      <c r="Q473" s="29"/>
      <c r="R473" s="29"/>
    </row>
    <row r="474" spans="13:18" ht="8.25" customHeight="1">
      <c r="M474" s="29"/>
      <c r="N474" s="29"/>
      <c r="O474" s="29"/>
      <c r="P474" s="29"/>
      <c r="Q474" s="29"/>
      <c r="R474" s="29"/>
    </row>
    <row r="475" spans="13:18" ht="8.25" customHeight="1">
      <c r="M475" s="29"/>
      <c r="N475" s="29"/>
      <c r="O475" s="29"/>
      <c r="P475" s="29"/>
      <c r="Q475" s="29"/>
      <c r="R475" s="29"/>
    </row>
    <row r="476" spans="13:18" ht="8.25" customHeight="1">
      <c r="M476" s="29"/>
      <c r="N476" s="29"/>
      <c r="O476" s="29"/>
      <c r="P476" s="29"/>
      <c r="Q476" s="29"/>
      <c r="R476" s="29"/>
    </row>
    <row r="477" spans="13:18" ht="8.25" customHeight="1">
      <c r="M477" s="29"/>
      <c r="N477" s="29"/>
      <c r="O477" s="29"/>
      <c r="P477" s="29"/>
      <c r="Q477" s="29"/>
      <c r="R477" s="29"/>
    </row>
    <row r="478" spans="13:18" ht="8.25" customHeight="1">
      <c r="M478" s="29"/>
      <c r="N478" s="29"/>
      <c r="O478" s="29"/>
      <c r="P478" s="29"/>
      <c r="Q478" s="29"/>
      <c r="R478" s="29"/>
    </row>
    <row r="479" spans="13:18" ht="8.25" customHeight="1">
      <c r="M479" s="29"/>
      <c r="N479" s="29"/>
      <c r="O479" s="29"/>
      <c r="P479" s="29"/>
      <c r="Q479" s="29"/>
      <c r="R479" s="29"/>
    </row>
    <row r="480" spans="13:18" ht="8.25" customHeight="1">
      <c r="M480" s="29"/>
      <c r="N480" s="29"/>
      <c r="O480" s="29"/>
      <c r="P480" s="29"/>
      <c r="Q480" s="29"/>
      <c r="R480" s="29"/>
    </row>
    <row r="481" spans="13:18" ht="8.25" customHeight="1">
      <c r="M481" s="29"/>
      <c r="N481" s="29"/>
      <c r="O481" s="29"/>
      <c r="P481" s="29"/>
      <c r="Q481" s="29"/>
      <c r="R481" s="29"/>
    </row>
    <row r="482" spans="13:18" ht="8.25" customHeight="1">
      <c r="M482" s="29"/>
      <c r="N482" s="29"/>
      <c r="O482" s="29"/>
      <c r="P482" s="29"/>
      <c r="Q482" s="29"/>
      <c r="R482" s="29"/>
    </row>
    <row r="483" spans="13:18" ht="8.25" customHeight="1">
      <c r="M483" s="29"/>
      <c r="N483" s="29"/>
      <c r="O483" s="29"/>
      <c r="P483" s="29"/>
      <c r="Q483" s="29"/>
      <c r="R483" s="29"/>
    </row>
    <row r="484" spans="13:18" ht="8.25" customHeight="1">
      <c r="M484" s="29"/>
      <c r="N484" s="29"/>
      <c r="O484" s="29"/>
      <c r="P484" s="29"/>
      <c r="Q484" s="29"/>
      <c r="R484" s="29"/>
    </row>
    <row r="485" spans="13:18" ht="8.25" customHeight="1">
      <c r="M485" s="29"/>
      <c r="N485" s="29"/>
      <c r="O485" s="29"/>
      <c r="P485" s="29"/>
      <c r="Q485" s="29"/>
      <c r="R485" s="29"/>
    </row>
    <row r="486" spans="13:18" ht="8.25" customHeight="1">
      <c r="M486" s="29"/>
      <c r="N486" s="29"/>
      <c r="O486" s="29"/>
      <c r="P486" s="29"/>
      <c r="Q486" s="29"/>
      <c r="R486" s="29"/>
    </row>
    <row r="487" spans="13:18" ht="8.25" customHeight="1">
      <c r="M487" s="29"/>
      <c r="N487" s="29"/>
      <c r="O487" s="29"/>
      <c r="P487" s="29"/>
      <c r="Q487" s="29"/>
      <c r="R487" s="29"/>
    </row>
    <row r="488" spans="13:18" ht="8.25" customHeight="1">
      <c r="M488" s="29"/>
      <c r="N488" s="29"/>
      <c r="O488" s="29"/>
      <c r="P488" s="29"/>
      <c r="Q488" s="29"/>
      <c r="R488" s="29"/>
    </row>
    <row r="489" spans="13:18" ht="8.25" customHeight="1">
      <c r="M489" s="29"/>
      <c r="N489" s="29"/>
      <c r="O489" s="29"/>
      <c r="P489" s="29"/>
      <c r="Q489" s="29"/>
      <c r="R489" s="29"/>
    </row>
    <row r="490" spans="13:18" ht="8.25" customHeight="1">
      <c r="M490" s="29"/>
      <c r="N490" s="29"/>
      <c r="O490" s="29"/>
      <c r="P490" s="29"/>
      <c r="Q490" s="29"/>
      <c r="R490" s="29"/>
    </row>
    <row r="491" spans="13:18" ht="8.25" customHeight="1">
      <c r="M491" s="29"/>
      <c r="N491" s="29"/>
      <c r="O491" s="29"/>
      <c r="P491" s="29"/>
      <c r="Q491" s="29"/>
      <c r="R491" s="29"/>
    </row>
    <row r="492" spans="13:18" ht="8.25" customHeight="1">
      <c r="M492" s="29"/>
      <c r="N492" s="29"/>
      <c r="O492" s="29"/>
      <c r="P492" s="29"/>
      <c r="Q492" s="29"/>
      <c r="R492" s="29"/>
    </row>
    <row r="493" spans="13:18" ht="8.25" customHeight="1">
      <c r="M493" s="29"/>
      <c r="N493" s="29"/>
      <c r="O493" s="29"/>
      <c r="P493" s="29"/>
      <c r="Q493" s="29"/>
      <c r="R493" s="29"/>
    </row>
    <row r="494" spans="13:18" ht="8.25" customHeight="1">
      <c r="M494" s="29"/>
      <c r="N494" s="29"/>
      <c r="O494" s="29"/>
      <c r="P494" s="29"/>
      <c r="Q494" s="29"/>
      <c r="R494" s="29"/>
    </row>
    <row r="495" spans="13:18" ht="8.25" customHeight="1">
      <c r="M495" s="29"/>
      <c r="N495" s="29"/>
      <c r="O495" s="29"/>
      <c r="P495" s="29"/>
      <c r="Q495" s="29"/>
      <c r="R495" s="29"/>
    </row>
    <row r="496" spans="13:18" ht="8.25" customHeight="1">
      <c r="M496" s="29"/>
      <c r="N496" s="29"/>
      <c r="O496" s="29"/>
      <c r="P496" s="29"/>
      <c r="Q496" s="29"/>
      <c r="R496" s="29"/>
    </row>
    <row r="497" spans="13:18" ht="8.25" customHeight="1">
      <c r="M497" s="29"/>
      <c r="N497" s="29"/>
      <c r="O497" s="29"/>
      <c r="P497" s="29"/>
      <c r="Q497" s="29"/>
      <c r="R497" s="29"/>
    </row>
    <row r="498" spans="13:18" ht="8.25" customHeight="1">
      <c r="M498" s="29"/>
      <c r="N498" s="29"/>
      <c r="O498" s="29"/>
      <c r="P498" s="29"/>
      <c r="Q498" s="29"/>
      <c r="R498" s="29"/>
    </row>
    <row r="499" spans="13:18" ht="8.25" customHeight="1">
      <c r="M499" s="29"/>
      <c r="N499" s="29"/>
      <c r="O499" s="29"/>
      <c r="P499" s="29"/>
      <c r="Q499" s="29"/>
      <c r="R499" s="29"/>
    </row>
    <row r="500" spans="13:18" ht="8.25" customHeight="1">
      <c r="M500" s="29"/>
      <c r="N500" s="29"/>
      <c r="O500" s="29"/>
      <c r="P500" s="29"/>
      <c r="Q500" s="29"/>
      <c r="R500" s="29"/>
    </row>
    <row r="501" spans="13:18" ht="8.25" customHeight="1">
      <c r="M501" s="29"/>
      <c r="N501" s="29"/>
      <c r="O501" s="29"/>
      <c r="P501" s="29"/>
      <c r="Q501" s="29"/>
      <c r="R501" s="29"/>
    </row>
    <row r="502" spans="13:18" ht="8.25" customHeight="1">
      <c r="M502" s="29"/>
      <c r="N502" s="29"/>
      <c r="O502" s="29"/>
      <c r="P502" s="29"/>
      <c r="Q502" s="29"/>
      <c r="R502" s="29"/>
    </row>
    <row r="503" spans="13:18" ht="8.25" customHeight="1">
      <c r="M503" s="29"/>
      <c r="N503" s="29"/>
      <c r="O503" s="29"/>
      <c r="P503" s="29"/>
      <c r="Q503" s="29"/>
      <c r="R503" s="29"/>
    </row>
    <row r="504" spans="13:18" ht="8.25" customHeight="1">
      <c r="M504" s="29"/>
      <c r="N504" s="29"/>
      <c r="O504" s="29"/>
      <c r="P504" s="29"/>
      <c r="Q504" s="29"/>
      <c r="R504" s="29"/>
    </row>
    <row r="505" spans="13:18" ht="8.25" customHeight="1">
      <c r="M505" s="29"/>
      <c r="N505" s="29"/>
      <c r="O505" s="29"/>
      <c r="P505" s="29"/>
      <c r="Q505" s="29"/>
      <c r="R505" s="29"/>
    </row>
    <row r="506" spans="13:18" ht="8.25" customHeight="1">
      <c r="M506" s="29"/>
      <c r="N506" s="29"/>
      <c r="O506" s="29"/>
      <c r="P506" s="29"/>
      <c r="Q506" s="29"/>
      <c r="R506" s="29"/>
    </row>
    <row r="507" spans="13:18" ht="8.25" customHeight="1">
      <c r="M507" s="29"/>
      <c r="N507" s="29"/>
      <c r="O507" s="29"/>
      <c r="P507" s="29"/>
      <c r="Q507" s="29"/>
      <c r="R507" s="29"/>
    </row>
    <row r="508" spans="13:18" ht="8.25" customHeight="1">
      <c r="M508" s="29"/>
      <c r="N508" s="29"/>
      <c r="O508" s="29"/>
      <c r="P508" s="29"/>
      <c r="Q508" s="29"/>
      <c r="R508" s="29"/>
    </row>
    <row r="509" spans="13:18" ht="8.25" customHeight="1">
      <c r="M509" s="29"/>
      <c r="N509" s="29"/>
      <c r="O509" s="29"/>
      <c r="P509" s="29"/>
      <c r="Q509" s="29"/>
      <c r="R509" s="29"/>
    </row>
    <row r="510" spans="13:18" ht="8.25" customHeight="1">
      <c r="M510" s="29"/>
      <c r="N510" s="29"/>
      <c r="O510" s="29"/>
      <c r="P510" s="29"/>
      <c r="Q510" s="29"/>
      <c r="R510" s="29"/>
    </row>
    <row r="511" spans="13:18" ht="8.25" customHeight="1">
      <c r="M511" s="29"/>
      <c r="N511" s="29"/>
      <c r="O511" s="29"/>
      <c r="P511" s="29"/>
      <c r="Q511" s="29"/>
      <c r="R511" s="29"/>
    </row>
    <row r="512" spans="13:18" ht="8.25" customHeight="1">
      <c r="M512" s="29"/>
      <c r="N512" s="29"/>
      <c r="O512" s="29"/>
      <c r="P512" s="29"/>
      <c r="Q512" s="29"/>
      <c r="R512" s="29"/>
    </row>
    <row r="513" spans="13:18" ht="8.25" customHeight="1">
      <c r="M513" s="29"/>
      <c r="N513" s="29"/>
      <c r="O513" s="29"/>
      <c r="P513" s="29"/>
      <c r="Q513" s="29"/>
      <c r="R513" s="29"/>
    </row>
    <row r="514" spans="13:18" ht="8.25" customHeight="1">
      <c r="M514" s="29"/>
      <c r="N514" s="29"/>
      <c r="O514" s="29"/>
      <c r="P514" s="29"/>
      <c r="Q514" s="29"/>
      <c r="R514" s="29"/>
    </row>
    <row r="515" spans="13:18" ht="8.25" customHeight="1">
      <c r="M515" s="29"/>
      <c r="N515" s="29"/>
      <c r="O515" s="29"/>
      <c r="P515" s="29"/>
      <c r="Q515" s="29"/>
      <c r="R515" s="29"/>
    </row>
    <row r="516" spans="13:18" ht="8.25" customHeight="1">
      <c r="M516" s="29"/>
      <c r="N516" s="29"/>
      <c r="O516" s="29"/>
      <c r="P516" s="29"/>
      <c r="Q516" s="29"/>
      <c r="R516" s="29"/>
    </row>
    <row r="517" spans="13:18" ht="8.25" customHeight="1">
      <c r="M517" s="29"/>
      <c r="N517" s="29"/>
      <c r="O517" s="29"/>
      <c r="P517" s="29"/>
      <c r="Q517" s="29"/>
      <c r="R517" s="29"/>
    </row>
    <row r="518" spans="13:18" ht="8.25" customHeight="1">
      <c r="M518" s="29"/>
      <c r="N518" s="29"/>
      <c r="O518" s="29"/>
      <c r="P518" s="29"/>
      <c r="Q518" s="29"/>
      <c r="R518" s="29"/>
    </row>
    <row r="519" spans="13:18" ht="8.25" customHeight="1">
      <c r="M519" s="29"/>
      <c r="N519" s="29"/>
      <c r="O519" s="29"/>
      <c r="P519" s="29"/>
      <c r="Q519" s="29"/>
      <c r="R519" s="29"/>
    </row>
    <row r="520" spans="13:18" ht="8.25" customHeight="1">
      <c r="M520" s="29"/>
      <c r="N520" s="29"/>
      <c r="O520" s="29"/>
      <c r="P520" s="29"/>
      <c r="Q520" s="29"/>
      <c r="R520" s="29"/>
    </row>
    <row r="521" spans="13:18" ht="8.25" customHeight="1">
      <c r="M521" s="29"/>
      <c r="N521" s="29"/>
      <c r="O521" s="29"/>
      <c r="P521" s="29"/>
      <c r="Q521" s="29"/>
      <c r="R521" s="29"/>
    </row>
    <row r="522" spans="13:18" ht="8.25" customHeight="1">
      <c r="M522" s="29"/>
      <c r="N522" s="29"/>
      <c r="O522" s="29"/>
      <c r="P522" s="29"/>
      <c r="Q522" s="29"/>
      <c r="R522" s="29"/>
    </row>
    <row r="523" spans="13:18" ht="8.25" customHeight="1">
      <c r="M523" s="29"/>
      <c r="N523" s="29"/>
      <c r="O523" s="29"/>
      <c r="P523" s="29"/>
      <c r="Q523" s="29"/>
      <c r="R523" s="29"/>
    </row>
    <row r="524" spans="13:18" ht="8.25" customHeight="1">
      <c r="M524" s="29"/>
      <c r="N524" s="29"/>
      <c r="O524" s="29"/>
      <c r="P524" s="29"/>
      <c r="Q524" s="29"/>
      <c r="R524" s="29"/>
    </row>
    <row r="525" spans="13:18" ht="8.25" customHeight="1">
      <c r="M525" s="29"/>
      <c r="N525" s="29"/>
      <c r="O525" s="29"/>
      <c r="P525" s="29"/>
      <c r="Q525" s="29"/>
      <c r="R525" s="29"/>
    </row>
    <row r="526" spans="13:18" ht="8.25" customHeight="1">
      <c r="M526" s="29"/>
      <c r="N526" s="29"/>
      <c r="O526" s="29"/>
      <c r="P526" s="29"/>
      <c r="Q526" s="29"/>
      <c r="R526" s="29"/>
    </row>
    <row r="527" spans="13:18" ht="8.25" customHeight="1">
      <c r="M527" s="29"/>
      <c r="N527" s="29"/>
      <c r="O527" s="29"/>
      <c r="P527" s="29"/>
      <c r="Q527" s="29"/>
      <c r="R527" s="29"/>
    </row>
    <row r="528" spans="13:18" ht="8.25" customHeight="1">
      <c r="M528" s="29"/>
      <c r="N528" s="29"/>
      <c r="O528" s="29"/>
      <c r="P528" s="29"/>
      <c r="Q528" s="29"/>
      <c r="R528" s="29"/>
    </row>
    <row r="529" spans="13:18" ht="8.25" customHeight="1">
      <c r="M529" s="29"/>
      <c r="N529" s="29"/>
      <c r="O529" s="29"/>
      <c r="P529" s="29"/>
      <c r="Q529" s="29"/>
      <c r="R529" s="29"/>
    </row>
    <row r="530" spans="13:18" ht="8.25" customHeight="1">
      <c r="M530" s="29"/>
      <c r="N530" s="29"/>
      <c r="O530" s="29"/>
      <c r="P530" s="29"/>
      <c r="Q530" s="29"/>
      <c r="R530" s="29"/>
    </row>
    <row r="531" spans="13:18" ht="8.25" customHeight="1">
      <c r="M531" s="29"/>
      <c r="N531" s="29"/>
      <c r="O531" s="29"/>
      <c r="P531" s="29"/>
      <c r="Q531" s="29"/>
      <c r="R531" s="29"/>
    </row>
    <row r="532" spans="13:18" ht="8.25" customHeight="1">
      <c r="M532" s="29"/>
      <c r="N532" s="29"/>
      <c r="O532" s="29"/>
      <c r="P532" s="29"/>
      <c r="Q532" s="29"/>
      <c r="R532" s="29"/>
    </row>
    <row r="533" spans="13:18" ht="8.25" customHeight="1">
      <c r="M533" s="29"/>
      <c r="N533" s="29"/>
      <c r="O533" s="29"/>
      <c r="P533" s="29"/>
      <c r="Q533" s="29"/>
      <c r="R533" s="29"/>
    </row>
    <row r="534" spans="13:18" ht="8.25" customHeight="1">
      <c r="M534" s="29"/>
      <c r="N534" s="29"/>
      <c r="O534" s="29"/>
      <c r="P534" s="29"/>
      <c r="Q534" s="29"/>
      <c r="R534" s="29"/>
    </row>
    <row r="535" spans="13:18" ht="8.25" customHeight="1">
      <c r="M535" s="29"/>
      <c r="N535" s="29"/>
      <c r="O535" s="29"/>
      <c r="P535" s="29"/>
      <c r="Q535" s="29"/>
      <c r="R535" s="29"/>
    </row>
    <row r="536" spans="13:18" ht="8.25" customHeight="1">
      <c r="M536" s="29"/>
      <c r="N536" s="29"/>
      <c r="O536" s="29"/>
      <c r="P536" s="29"/>
      <c r="Q536" s="29"/>
      <c r="R536" s="29"/>
    </row>
    <row r="537" spans="13:18" ht="8.25" customHeight="1">
      <c r="M537" s="29"/>
      <c r="N537" s="29"/>
      <c r="O537" s="29"/>
      <c r="P537" s="29"/>
      <c r="Q537" s="29"/>
      <c r="R537" s="29"/>
    </row>
    <row r="538" spans="13:18" ht="8.25" customHeight="1">
      <c r="M538" s="29"/>
      <c r="N538" s="29"/>
      <c r="O538" s="29"/>
      <c r="P538" s="29"/>
      <c r="Q538" s="29"/>
      <c r="R538" s="29"/>
    </row>
    <row r="539" spans="13:18" ht="8.25" customHeight="1">
      <c r="M539" s="29"/>
      <c r="N539" s="29"/>
      <c r="O539" s="29"/>
      <c r="P539" s="29"/>
      <c r="Q539" s="29"/>
      <c r="R539" s="29"/>
    </row>
    <row r="540" spans="13:18" ht="8.25" customHeight="1">
      <c r="M540" s="29"/>
      <c r="N540" s="29"/>
      <c r="O540" s="29"/>
      <c r="P540" s="29"/>
      <c r="Q540" s="29"/>
      <c r="R540" s="29"/>
    </row>
    <row r="541" spans="13:18" ht="8.25" customHeight="1">
      <c r="M541" s="29"/>
      <c r="N541" s="29"/>
      <c r="O541" s="29"/>
      <c r="P541" s="29"/>
      <c r="Q541" s="29"/>
      <c r="R541" s="29"/>
    </row>
    <row r="542" spans="13:18" ht="8.25" customHeight="1">
      <c r="M542" s="29"/>
      <c r="N542" s="29"/>
      <c r="O542" s="29"/>
      <c r="P542" s="29"/>
      <c r="Q542" s="29"/>
      <c r="R542" s="29"/>
    </row>
    <row r="543" spans="13:18" ht="8.25" customHeight="1">
      <c r="M543" s="29"/>
      <c r="N543" s="29"/>
      <c r="O543" s="29"/>
      <c r="P543" s="29"/>
      <c r="Q543" s="29"/>
      <c r="R543" s="29"/>
    </row>
    <row r="544" spans="13:18" ht="8.25" customHeight="1">
      <c r="M544" s="29"/>
      <c r="N544" s="29"/>
      <c r="O544" s="29"/>
      <c r="P544" s="29"/>
      <c r="Q544" s="29"/>
      <c r="R544" s="29"/>
    </row>
    <row r="545" spans="13:18" ht="8.25" customHeight="1">
      <c r="M545" s="29"/>
      <c r="N545" s="29"/>
      <c r="O545" s="29"/>
      <c r="P545" s="29"/>
      <c r="Q545" s="29"/>
      <c r="R545" s="29"/>
    </row>
    <row r="546" spans="13:18" ht="8.25" customHeight="1">
      <c r="M546" s="29"/>
      <c r="N546" s="29"/>
      <c r="O546" s="29"/>
      <c r="P546" s="29"/>
      <c r="Q546" s="29"/>
      <c r="R546" s="29"/>
    </row>
    <row r="547" spans="13:18" ht="8.25" customHeight="1">
      <c r="M547" s="29"/>
      <c r="N547" s="29"/>
      <c r="O547" s="29"/>
      <c r="P547" s="29"/>
      <c r="Q547" s="29"/>
      <c r="R547" s="29"/>
    </row>
    <row r="548" spans="13:18" ht="8.25" customHeight="1">
      <c r="M548" s="29"/>
      <c r="N548" s="29"/>
      <c r="O548" s="29"/>
      <c r="P548" s="29"/>
      <c r="Q548" s="29"/>
      <c r="R548" s="29"/>
    </row>
    <row r="549" spans="13:18" ht="8.25" customHeight="1">
      <c r="M549" s="29"/>
      <c r="N549" s="29"/>
      <c r="O549" s="29"/>
      <c r="P549" s="29"/>
      <c r="Q549" s="29"/>
      <c r="R549" s="29"/>
    </row>
    <row r="550" spans="13:18" ht="8.25" customHeight="1">
      <c r="M550" s="29"/>
      <c r="N550" s="29"/>
      <c r="O550" s="29"/>
      <c r="P550" s="29"/>
      <c r="Q550" s="29"/>
      <c r="R550" s="29"/>
    </row>
    <row r="551" spans="13:18" ht="8.25" customHeight="1">
      <c r="M551" s="29"/>
      <c r="N551" s="29"/>
      <c r="O551" s="29"/>
      <c r="P551" s="29"/>
      <c r="Q551" s="29"/>
      <c r="R551" s="29"/>
    </row>
    <row r="552" spans="13:18" ht="8.25" customHeight="1">
      <c r="M552" s="29"/>
      <c r="N552" s="29"/>
      <c r="O552" s="29"/>
      <c r="P552" s="29"/>
      <c r="Q552" s="29"/>
      <c r="R552" s="29"/>
    </row>
    <row r="553" spans="13:18" ht="8.25" customHeight="1">
      <c r="M553" s="29"/>
      <c r="N553" s="29"/>
      <c r="O553" s="29"/>
      <c r="P553" s="29"/>
      <c r="Q553" s="29"/>
      <c r="R553" s="29"/>
    </row>
    <row r="554" spans="13:18" ht="8.25" customHeight="1">
      <c r="M554" s="29"/>
      <c r="N554" s="29"/>
      <c r="O554" s="29"/>
      <c r="P554" s="29"/>
      <c r="Q554" s="29"/>
      <c r="R554" s="29"/>
    </row>
    <row r="555" spans="13:18" ht="8.25" customHeight="1">
      <c r="M555" s="29"/>
      <c r="N555" s="29"/>
      <c r="O555" s="29"/>
      <c r="P555" s="29"/>
      <c r="Q555" s="29"/>
      <c r="R555" s="29"/>
    </row>
    <row r="556" spans="13:18" ht="8.25" customHeight="1">
      <c r="M556" s="29"/>
      <c r="N556" s="29"/>
      <c r="O556" s="29"/>
      <c r="P556" s="29"/>
      <c r="Q556" s="29"/>
      <c r="R556" s="29"/>
    </row>
    <row r="557" spans="13:18" ht="8.25" customHeight="1">
      <c r="M557" s="29"/>
      <c r="N557" s="29"/>
      <c r="O557" s="29"/>
      <c r="P557" s="29"/>
      <c r="Q557" s="29"/>
      <c r="R557" s="29"/>
    </row>
    <row r="558" spans="13:18" ht="8.25" customHeight="1">
      <c r="M558" s="29"/>
      <c r="N558" s="29"/>
      <c r="O558" s="29"/>
      <c r="P558" s="29"/>
      <c r="Q558" s="29"/>
      <c r="R558" s="29"/>
    </row>
    <row r="559" spans="13:18" ht="8.25" customHeight="1">
      <c r="M559" s="29"/>
      <c r="N559" s="29"/>
      <c r="O559" s="29"/>
      <c r="P559" s="29"/>
      <c r="Q559" s="29"/>
      <c r="R559" s="29"/>
    </row>
    <row r="560" spans="13:18" ht="8.25" customHeight="1">
      <c r="M560" s="29"/>
      <c r="N560" s="29"/>
      <c r="O560" s="29"/>
      <c r="P560" s="29"/>
      <c r="Q560" s="29"/>
      <c r="R560" s="29"/>
    </row>
    <row r="561" spans="13:18" ht="8.25" customHeight="1">
      <c r="M561" s="29"/>
      <c r="N561" s="29"/>
      <c r="O561" s="29"/>
      <c r="P561" s="29"/>
      <c r="Q561" s="29"/>
      <c r="R561" s="29"/>
    </row>
    <row r="562" spans="13:18" ht="8.25" customHeight="1">
      <c r="M562" s="29"/>
      <c r="N562" s="29"/>
      <c r="O562" s="29"/>
      <c r="P562" s="29"/>
      <c r="Q562" s="29"/>
      <c r="R562" s="29"/>
    </row>
    <row r="563" spans="13:18" ht="8.25" customHeight="1">
      <c r="M563" s="29"/>
      <c r="N563" s="29"/>
      <c r="O563" s="29"/>
      <c r="P563" s="29"/>
      <c r="Q563" s="29"/>
      <c r="R563" s="29"/>
    </row>
    <row r="564" spans="13:18" ht="8.25" customHeight="1">
      <c r="M564" s="29"/>
      <c r="N564" s="29"/>
      <c r="O564" s="29"/>
      <c r="P564" s="29"/>
      <c r="Q564" s="29"/>
      <c r="R564" s="29"/>
    </row>
    <row r="565" spans="13:18" ht="8.25" customHeight="1">
      <c r="M565" s="29"/>
      <c r="N565" s="29"/>
      <c r="O565" s="29"/>
      <c r="P565" s="29"/>
      <c r="Q565" s="29"/>
      <c r="R565" s="29"/>
    </row>
    <row r="566" spans="13:18" ht="8.25" customHeight="1">
      <c r="M566" s="29"/>
      <c r="N566" s="29"/>
      <c r="O566" s="29"/>
      <c r="P566" s="29"/>
      <c r="Q566" s="29"/>
      <c r="R566" s="29"/>
    </row>
    <row r="567" spans="13:18" ht="8.25" customHeight="1">
      <c r="M567" s="29"/>
      <c r="N567" s="29"/>
      <c r="O567" s="29"/>
      <c r="P567" s="29"/>
      <c r="Q567" s="29"/>
      <c r="R567" s="29"/>
    </row>
    <row r="568" spans="13:18" ht="8.25" customHeight="1">
      <c r="M568" s="29"/>
      <c r="N568" s="29"/>
      <c r="O568" s="29"/>
      <c r="P568" s="29"/>
      <c r="Q568" s="29"/>
      <c r="R568" s="29"/>
    </row>
    <row r="569" spans="13:18" ht="8.25" customHeight="1">
      <c r="M569" s="29"/>
      <c r="N569" s="29"/>
      <c r="O569" s="29"/>
      <c r="P569" s="29"/>
      <c r="Q569" s="29"/>
      <c r="R569" s="29"/>
    </row>
    <row r="570" spans="13:18" ht="8.25" customHeight="1">
      <c r="M570" s="29"/>
      <c r="N570" s="29"/>
      <c r="O570" s="29"/>
      <c r="P570" s="29"/>
      <c r="Q570" s="29"/>
      <c r="R570" s="29"/>
    </row>
    <row r="571" spans="13:18" ht="8.25" customHeight="1">
      <c r="M571" s="29"/>
      <c r="N571" s="29"/>
      <c r="O571" s="29"/>
      <c r="P571" s="29"/>
      <c r="Q571" s="29"/>
      <c r="R571" s="29"/>
    </row>
    <row r="572" spans="13:18" ht="8.25" customHeight="1">
      <c r="M572" s="29"/>
      <c r="N572" s="29"/>
      <c r="O572" s="29"/>
      <c r="P572" s="29"/>
      <c r="Q572" s="29"/>
      <c r="R572" s="29"/>
    </row>
    <row r="573" spans="13:18" ht="8.25" customHeight="1">
      <c r="M573" s="29"/>
      <c r="N573" s="29"/>
      <c r="O573" s="29"/>
      <c r="P573" s="29"/>
      <c r="Q573" s="29"/>
      <c r="R573" s="29"/>
    </row>
    <row r="574" spans="13:18" ht="8.25" customHeight="1">
      <c r="M574" s="29"/>
      <c r="N574" s="29"/>
      <c r="O574" s="29"/>
      <c r="P574" s="29"/>
      <c r="Q574" s="29"/>
      <c r="R574" s="29"/>
    </row>
    <row r="575" spans="13:18" ht="8.25" customHeight="1">
      <c r="M575" s="29"/>
      <c r="N575" s="29"/>
      <c r="O575" s="29"/>
      <c r="P575" s="29"/>
      <c r="Q575" s="29"/>
      <c r="R575" s="29"/>
    </row>
    <row r="576" spans="13:18" ht="8.25" customHeight="1">
      <c r="M576" s="29"/>
      <c r="N576" s="29"/>
      <c r="O576" s="29"/>
      <c r="P576" s="29"/>
      <c r="Q576" s="29"/>
      <c r="R576" s="29"/>
    </row>
    <row r="577" spans="13:18" ht="8.25" customHeight="1">
      <c r="M577" s="29"/>
      <c r="N577" s="29"/>
      <c r="O577" s="29"/>
      <c r="P577" s="29"/>
      <c r="Q577" s="29"/>
      <c r="R577" s="29"/>
    </row>
    <row r="578" spans="13:18" ht="8.25" customHeight="1">
      <c r="M578" s="29"/>
      <c r="N578" s="29"/>
      <c r="O578" s="29"/>
      <c r="P578" s="29"/>
      <c r="Q578" s="29"/>
      <c r="R578" s="29"/>
    </row>
    <row r="579" spans="13:18" ht="8.25" customHeight="1">
      <c r="M579" s="29"/>
      <c r="N579" s="29"/>
      <c r="O579" s="29"/>
      <c r="P579" s="29"/>
      <c r="Q579" s="29"/>
      <c r="R579" s="29"/>
    </row>
    <row r="580" spans="13:18" ht="8.25" customHeight="1">
      <c r="M580" s="29"/>
      <c r="N580" s="29"/>
      <c r="O580" s="29"/>
      <c r="P580" s="29"/>
      <c r="Q580" s="29"/>
      <c r="R580" s="29"/>
    </row>
    <row r="581" spans="13:18" ht="8.25" customHeight="1">
      <c r="M581" s="29"/>
      <c r="N581" s="29"/>
      <c r="O581" s="29"/>
      <c r="P581" s="29"/>
      <c r="Q581" s="29"/>
      <c r="R581" s="29"/>
    </row>
    <row r="582" spans="13:18" ht="8.25" customHeight="1">
      <c r="M582" s="29"/>
      <c r="N582" s="29"/>
      <c r="O582" s="29"/>
      <c r="P582" s="29"/>
      <c r="Q582" s="29"/>
      <c r="R582" s="29"/>
    </row>
    <row r="583" spans="13:18" ht="8.25" customHeight="1">
      <c r="M583" s="29"/>
      <c r="N583" s="29"/>
      <c r="O583" s="29"/>
      <c r="P583" s="29"/>
      <c r="Q583" s="29"/>
      <c r="R583" s="29"/>
    </row>
    <row r="584" spans="13:18" ht="8.25" customHeight="1">
      <c r="M584" s="29"/>
      <c r="N584" s="29"/>
      <c r="O584" s="29"/>
      <c r="P584" s="29"/>
      <c r="Q584" s="29"/>
      <c r="R584" s="29"/>
    </row>
    <row r="585" spans="13:18" ht="8.25" customHeight="1">
      <c r="M585" s="29"/>
      <c r="N585" s="29"/>
      <c r="O585" s="29"/>
      <c r="P585" s="29"/>
      <c r="Q585" s="29"/>
      <c r="R585" s="29"/>
    </row>
    <row r="586" spans="13:18" ht="8.25" customHeight="1">
      <c r="M586" s="29"/>
      <c r="N586" s="29"/>
      <c r="O586" s="29"/>
      <c r="P586" s="29"/>
      <c r="Q586" s="29"/>
      <c r="R586" s="29"/>
    </row>
    <row r="587" spans="13:18" ht="8.25" customHeight="1">
      <c r="M587" s="29"/>
      <c r="N587" s="29"/>
      <c r="O587" s="29"/>
      <c r="P587" s="29"/>
      <c r="Q587" s="29"/>
      <c r="R587" s="29"/>
    </row>
    <row r="588" spans="13:18" ht="8.25" customHeight="1">
      <c r="M588" s="29"/>
      <c r="N588" s="29"/>
      <c r="O588" s="29"/>
      <c r="P588" s="29"/>
      <c r="Q588" s="29"/>
      <c r="R588" s="29"/>
    </row>
    <row r="589" spans="13:18" ht="8.25" customHeight="1">
      <c r="M589" s="29"/>
      <c r="N589" s="29"/>
      <c r="O589" s="29"/>
      <c r="P589" s="29"/>
      <c r="Q589" s="29"/>
      <c r="R589" s="29"/>
    </row>
    <row r="590" spans="13:18" ht="8.25" customHeight="1">
      <c r="M590" s="29"/>
      <c r="N590" s="29"/>
      <c r="O590" s="29"/>
      <c r="P590" s="29"/>
      <c r="Q590" s="29"/>
      <c r="R590" s="29"/>
    </row>
    <row r="591" spans="13:18" ht="8.25" customHeight="1">
      <c r="M591" s="29"/>
      <c r="N591" s="29"/>
      <c r="O591" s="29"/>
      <c r="P591" s="29"/>
      <c r="Q591" s="29"/>
      <c r="R591" s="29"/>
    </row>
    <row r="592" spans="13:18" ht="8.25" customHeight="1">
      <c r="M592" s="29"/>
      <c r="N592" s="29"/>
      <c r="O592" s="29"/>
      <c r="P592" s="29"/>
      <c r="Q592" s="29"/>
      <c r="R592" s="29"/>
    </row>
    <row r="593" spans="13:18" ht="8.25" customHeight="1">
      <c r="M593" s="29"/>
      <c r="N593" s="29"/>
      <c r="O593" s="29"/>
      <c r="P593" s="29"/>
      <c r="Q593" s="29"/>
      <c r="R593" s="29"/>
    </row>
    <row r="594" spans="13:18" ht="8.25" customHeight="1">
      <c r="M594" s="29"/>
      <c r="N594" s="29"/>
      <c r="O594" s="29"/>
      <c r="P594" s="29"/>
      <c r="Q594" s="29"/>
      <c r="R594" s="29"/>
    </row>
    <row r="595" spans="13:18" ht="8.25" customHeight="1">
      <c r="M595" s="29"/>
      <c r="N595" s="29"/>
      <c r="O595" s="29"/>
      <c r="P595" s="29"/>
      <c r="Q595" s="29"/>
      <c r="R595" s="29"/>
    </row>
    <row r="596" spans="13:18" ht="8.25" customHeight="1">
      <c r="M596" s="29"/>
      <c r="N596" s="29"/>
      <c r="O596" s="29"/>
      <c r="P596" s="29"/>
      <c r="Q596" s="29"/>
      <c r="R596" s="29"/>
    </row>
    <row r="597" spans="13:18" ht="8.25" customHeight="1">
      <c r="M597" s="29"/>
      <c r="N597" s="29"/>
      <c r="O597" s="29"/>
      <c r="P597" s="29"/>
      <c r="Q597" s="29"/>
      <c r="R597" s="29"/>
    </row>
    <row r="598" spans="13:18" ht="8.25" customHeight="1">
      <c r="M598" s="29"/>
      <c r="N598" s="29"/>
      <c r="O598" s="29"/>
      <c r="P598" s="29"/>
      <c r="Q598" s="29"/>
      <c r="R598" s="29"/>
    </row>
    <row r="599" spans="13:18" ht="8.25" customHeight="1">
      <c r="M599" s="29"/>
      <c r="N599" s="29"/>
      <c r="O599" s="29"/>
      <c r="P599" s="29"/>
      <c r="Q599" s="29"/>
      <c r="R599" s="29"/>
    </row>
    <row r="600" spans="13:18" ht="8.25" customHeight="1">
      <c r="M600" s="29"/>
      <c r="N600" s="29"/>
      <c r="O600" s="29"/>
      <c r="P600" s="29"/>
      <c r="Q600" s="29"/>
      <c r="R600" s="29"/>
    </row>
    <row r="601" spans="13:18" ht="8.25" customHeight="1">
      <c r="M601" s="29"/>
      <c r="N601" s="29"/>
      <c r="O601" s="29"/>
      <c r="P601" s="29"/>
      <c r="Q601" s="29"/>
      <c r="R601" s="29"/>
    </row>
    <row r="602" spans="13:18" ht="8.25" customHeight="1">
      <c r="M602" s="29"/>
      <c r="N602" s="29"/>
      <c r="O602" s="29"/>
      <c r="P602" s="29"/>
      <c r="Q602" s="29"/>
      <c r="R602" s="29"/>
    </row>
    <row r="603" spans="13:18" ht="8.25" customHeight="1">
      <c r="M603" s="29"/>
      <c r="N603" s="29"/>
      <c r="O603" s="29"/>
      <c r="P603" s="29"/>
      <c r="Q603" s="29"/>
      <c r="R603" s="29"/>
    </row>
    <row r="604" spans="13:18" ht="8.25" customHeight="1">
      <c r="M604" s="29"/>
      <c r="N604" s="29"/>
      <c r="O604" s="29"/>
      <c r="P604" s="29"/>
      <c r="Q604" s="29"/>
      <c r="R604" s="29"/>
    </row>
    <row r="605" spans="13:18" ht="8.25" customHeight="1">
      <c r="M605" s="29"/>
      <c r="N605" s="29"/>
      <c r="O605" s="29"/>
      <c r="P605" s="29"/>
      <c r="Q605" s="29"/>
      <c r="R605" s="29"/>
    </row>
    <row r="606" spans="13:18" ht="8.25" customHeight="1">
      <c r="M606" s="29"/>
      <c r="N606" s="29"/>
      <c r="O606" s="29"/>
      <c r="P606" s="29"/>
      <c r="Q606" s="29"/>
      <c r="R606" s="29"/>
    </row>
    <row r="607" spans="13:18" ht="8.25" customHeight="1">
      <c r="M607" s="29"/>
      <c r="N607" s="29"/>
      <c r="O607" s="29"/>
      <c r="P607" s="29"/>
      <c r="Q607" s="29"/>
      <c r="R607" s="29"/>
    </row>
    <row r="608" spans="13:18" ht="8.25" customHeight="1">
      <c r="M608" s="29"/>
      <c r="N608" s="29"/>
      <c r="O608" s="29"/>
      <c r="P608" s="29"/>
      <c r="Q608" s="29"/>
      <c r="R608" s="29"/>
    </row>
    <row r="609" spans="13:18" ht="8.25" customHeight="1">
      <c r="M609" s="29"/>
      <c r="N609" s="29"/>
      <c r="O609" s="29"/>
      <c r="P609" s="29"/>
      <c r="Q609" s="29"/>
      <c r="R609" s="29"/>
    </row>
    <row r="610" spans="13:18" ht="8.25" customHeight="1">
      <c r="M610" s="29"/>
      <c r="N610" s="29"/>
      <c r="O610" s="29"/>
      <c r="P610" s="29"/>
      <c r="Q610" s="29"/>
      <c r="R610" s="29"/>
    </row>
    <row r="611" spans="13:18" ht="8.25" customHeight="1">
      <c r="M611" s="29"/>
      <c r="N611" s="29"/>
      <c r="O611" s="29"/>
      <c r="P611" s="29"/>
      <c r="Q611" s="29"/>
      <c r="R611" s="29"/>
    </row>
    <row r="612" spans="13:18" ht="8.25" customHeight="1">
      <c r="M612" s="29"/>
      <c r="N612" s="29"/>
      <c r="O612" s="29"/>
      <c r="P612" s="29"/>
      <c r="Q612" s="29"/>
      <c r="R612" s="29"/>
    </row>
    <row r="613" spans="13:18" ht="8.25" customHeight="1">
      <c r="M613" s="29"/>
      <c r="N613" s="29"/>
      <c r="O613" s="29"/>
      <c r="P613" s="29"/>
      <c r="Q613" s="29"/>
      <c r="R613" s="29"/>
    </row>
    <row r="614" spans="13:18" ht="8.25" customHeight="1">
      <c r="M614" s="29"/>
      <c r="N614" s="29"/>
      <c r="O614" s="29"/>
      <c r="P614" s="29"/>
      <c r="Q614" s="29"/>
      <c r="R614" s="29"/>
    </row>
    <row r="615" spans="13:18" ht="8.25" customHeight="1">
      <c r="M615" s="29"/>
      <c r="N615" s="29"/>
      <c r="O615" s="29"/>
      <c r="P615" s="29"/>
      <c r="Q615" s="29"/>
      <c r="R615" s="29"/>
    </row>
    <row r="616" spans="13:18" ht="8.25" customHeight="1">
      <c r="M616" s="29"/>
      <c r="N616" s="29"/>
      <c r="O616" s="29"/>
      <c r="P616" s="29"/>
      <c r="Q616" s="29"/>
      <c r="R616" s="29"/>
    </row>
    <row r="617" spans="13:18" ht="8.25" customHeight="1">
      <c r="M617" s="29"/>
      <c r="N617" s="29"/>
      <c r="O617" s="29"/>
      <c r="P617" s="29"/>
      <c r="Q617" s="29"/>
      <c r="R617" s="29"/>
    </row>
    <row r="618" spans="13:18" ht="8.25" customHeight="1">
      <c r="M618" s="29"/>
      <c r="N618" s="29"/>
      <c r="O618" s="29"/>
      <c r="P618" s="29"/>
      <c r="Q618" s="29"/>
      <c r="R618" s="29"/>
    </row>
    <row r="619" spans="13:18" ht="8.25" customHeight="1">
      <c r="M619" s="29"/>
      <c r="N619" s="29"/>
      <c r="O619" s="29"/>
      <c r="P619" s="29"/>
      <c r="Q619" s="29"/>
      <c r="R619" s="29"/>
    </row>
    <row r="620" spans="13:18" ht="8.25" customHeight="1">
      <c r="M620" s="29"/>
      <c r="N620" s="29"/>
      <c r="O620" s="29"/>
      <c r="P620" s="29"/>
      <c r="Q620" s="29"/>
      <c r="R620" s="29"/>
    </row>
    <row r="621" spans="13:18" ht="8.25" customHeight="1">
      <c r="M621" s="29"/>
      <c r="N621" s="29"/>
      <c r="O621" s="29"/>
      <c r="P621" s="29"/>
      <c r="Q621" s="29"/>
      <c r="R621" s="29"/>
    </row>
    <row r="622" spans="13:18" ht="8.25" customHeight="1">
      <c r="M622" s="29"/>
      <c r="N622" s="29"/>
      <c r="O622" s="29"/>
      <c r="P622" s="29"/>
      <c r="Q622" s="29"/>
      <c r="R622" s="29"/>
    </row>
    <row r="623" spans="13:18" ht="8.25" customHeight="1">
      <c r="M623" s="29"/>
      <c r="N623" s="29"/>
      <c r="O623" s="29"/>
      <c r="P623" s="29"/>
      <c r="Q623" s="29"/>
      <c r="R623" s="29"/>
    </row>
    <row r="624" spans="13:18" ht="8.25" customHeight="1">
      <c r="M624" s="29"/>
      <c r="N624" s="29"/>
      <c r="O624" s="29"/>
      <c r="P624" s="29"/>
      <c r="Q624" s="29"/>
      <c r="R624" s="29"/>
    </row>
    <row r="625" spans="13:18" ht="8.25" customHeight="1">
      <c r="M625" s="29"/>
      <c r="N625" s="29"/>
      <c r="O625" s="29"/>
      <c r="P625" s="29"/>
      <c r="Q625" s="29"/>
      <c r="R625" s="29"/>
    </row>
    <row r="626" spans="13:18" ht="8.25" customHeight="1">
      <c r="M626" s="29"/>
      <c r="N626" s="29"/>
      <c r="O626" s="29"/>
      <c r="P626" s="29"/>
      <c r="Q626" s="29"/>
      <c r="R626" s="29"/>
    </row>
    <row r="627" spans="13:18" ht="8.25" customHeight="1">
      <c r="M627" s="29"/>
      <c r="N627" s="29"/>
      <c r="O627" s="29"/>
      <c r="P627" s="29"/>
      <c r="Q627" s="29"/>
      <c r="R627" s="29"/>
    </row>
    <row r="628" spans="13:18" ht="8.25" customHeight="1">
      <c r="M628" s="29"/>
      <c r="N628" s="29"/>
      <c r="O628" s="29"/>
      <c r="P628" s="29"/>
      <c r="Q628" s="29"/>
      <c r="R628" s="29"/>
    </row>
    <row r="629" spans="13:18" ht="8.25" customHeight="1">
      <c r="M629" s="29"/>
      <c r="N629" s="29"/>
      <c r="O629" s="29"/>
      <c r="P629" s="29"/>
      <c r="Q629" s="29"/>
      <c r="R629" s="29"/>
    </row>
    <row r="630" spans="13:18" ht="8.25" customHeight="1">
      <c r="M630" s="29"/>
      <c r="N630" s="29"/>
      <c r="O630" s="29"/>
      <c r="P630" s="29"/>
      <c r="Q630" s="29"/>
      <c r="R630" s="29"/>
    </row>
    <row r="631" spans="13:18" ht="8.25" customHeight="1">
      <c r="M631" s="29"/>
      <c r="N631" s="29"/>
      <c r="O631" s="29"/>
      <c r="P631" s="29"/>
      <c r="Q631" s="29"/>
      <c r="R631" s="29"/>
    </row>
    <row r="632" spans="13:18" ht="8.25" customHeight="1">
      <c r="M632" s="29"/>
      <c r="N632" s="29"/>
      <c r="O632" s="29"/>
      <c r="P632" s="29"/>
      <c r="Q632" s="29"/>
      <c r="R632" s="29"/>
    </row>
    <row r="633" spans="13:18" ht="8.25" customHeight="1">
      <c r="M633" s="29"/>
      <c r="N633" s="29"/>
      <c r="O633" s="29"/>
      <c r="P633" s="29"/>
      <c r="Q633" s="29"/>
      <c r="R633" s="29"/>
    </row>
    <row r="634" spans="13:18" ht="8.25" customHeight="1">
      <c r="M634" s="29"/>
      <c r="N634" s="29"/>
      <c r="O634" s="29"/>
      <c r="P634" s="29"/>
      <c r="Q634" s="29"/>
      <c r="R634" s="29"/>
    </row>
    <row r="635" spans="13:18" ht="8.25" customHeight="1">
      <c r="M635" s="29"/>
      <c r="N635" s="29"/>
      <c r="O635" s="29"/>
      <c r="P635" s="29"/>
      <c r="Q635" s="29"/>
      <c r="R635" s="29"/>
    </row>
    <row r="636" spans="13:18" ht="8.25" customHeight="1">
      <c r="M636" s="29"/>
      <c r="N636" s="29"/>
      <c r="O636" s="29"/>
      <c r="P636" s="29"/>
      <c r="Q636" s="29"/>
      <c r="R636" s="29"/>
    </row>
    <row r="637" spans="13:18" ht="8.25" customHeight="1">
      <c r="M637" s="29"/>
      <c r="N637" s="29"/>
      <c r="O637" s="29"/>
      <c r="P637" s="29"/>
      <c r="Q637" s="29"/>
      <c r="R637" s="29"/>
    </row>
    <row r="638" spans="13:18" ht="8.25" customHeight="1">
      <c r="M638" s="29"/>
      <c r="N638" s="29"/>
      <c r="O638" s="29"/>
      <c r="P638" s="29"/>
      <c r="Q638" s="29"/>
      <c r="R638" s="29"/>
    </row>
    <row r="639" spans="13:18" ht="8.25" customHeight="1">
      <c r="M639" s="29"/>
      <c r="N639" s="29"/>
      <c r="O639" s="29"/>
      <c r="P639" s="29"/>
      <c r="Q639" s="29"/>
      <c r="R639" s="29"/>
    </row>
    <row r="640" spans="13:18" ht="8.25" customHeight="1">
      <c r="M640" s="29"/>
      <c r="N640" s="29"/>
      <c r="O640" s="29"/>
      <c r="P640" s="29"/>
      <c r="Q640" s="29"/>
      <c r="R640" s="29"/>
    </row>
    <row r="641" spans="13:18" ht="8.25" customHeight="1">
      <c r="M641" s="29"/>
      <c r="N641" s="29"/>
      <c r="O641" s="29"/>
      <c r="P641" s="29"/>
      <c r="Q641" s="29"/>
      <c r="R641" s="29"/>
    </row>
    <row r="642" spans="13:18" ht="8.25" customHeight="1">
      <c r="M642" s="29"/>
      <c r="N642" s="29"/>
      <c r="O642" s="29"/>
      <c r="P642" s="29"/>
      <c r="Q642" s="29"/>
      <c r="R642" s="29"/>
    </row>
    <row r="643" spans="13:18" ht="8.25" customHeight="1">
      <c r="M643" s="29"/>
      <c r="N643" s="29"/>
      <c r="O643" s="29"/>
      <c r="P643" s="29"/>
      <c r="Q643" s="29"/>
      <c r="R643" s="29"/>
    </row>
    <row r="644" spans="13:18" ht="8.25" customHeight="1">
      <c r="M644" s="29"/>
      <c r="N644" s="29"/>
      <c r="O644" s="29"/>
      <c r="P644" s="29"/>
      <c r="Q644" s="29"/>
      <c r="R644" s="29"/>
    </row>
    <row r="645" spans="13:18" ht="8.25" customHeight="1">
      <c r="M645" s="29"/>
      <c r="N645" s="29"/>
      <c r="O645" s="29"/>
      <c r="P645" s="29"/>
      <c r="Q645" s="29"/>
      <c r="R645" s="29"/>
    </row>
    <row r="646" spans="13:18" ht="8.25" customHeight="1">
      <c r="M646" s="29"/>
      <c r="N646" s="29"/>
      <c r="O646" s="29"/>
      <c r="P646" s="29"/>
      <c r="Q646" s="29"/>
      <c r="R646" s="29"/>
    </row>
    <row r="647" spans="13:18" ht="8.25" customHeight="1">
      <c r="M647" s="29"/>
      <c r="N647" s="29"/>
      <c r="O647" s="29"/>
      <c r="P647" s="29"/>
      <c r="Q647" s="29"/>
      <c r="R647" s="29"/>
    </row>
    <row r="648" spans="13:18" ht="8.25" customHeight="1">
      <c r="M648" s="29"/>
      <c r="N648" s="29"/>
      <c r="O648" s="29"/>
      <c r="P648" s="29"/>
      <c r="Q648" s="29"/>
      <c r="R648" s="29"/>
    </row>
    <row r="649" spans="13:18" ht="8.25" customHeight="1">
      <c r="M649" s="29"/>
      <c r="N649" s="29"/>
      <c r="O649" s="29"/>
      <c r="P649" s="29"/>
      <c r="Q649" s="29"/>
      <c r="R649" s="29"/>
    </row>
    <row r="650" spans="13:18" ht="8.25" customHeight="1">
      <c r="M650" s="29"/>
      <c r="N650" s="29"/>
      <c r="O650" s="29"/>
      <c r="P650" s="29"/>
      <c r="Q650" s="29"/>
      <c r="R650" s="29"/>
    </row>
    <row r="651" spans="13:18" ht="8.25" customHeight="1">
      <c r="M651" s="29"/>
      <c r="N651" s="29"/>
      <c r="O651" s="29"/>
      <c r="P651" s="29"/>
      <c r="Q651" s="29"/>
      <c r="R651" s="29"/>
    </row>
    <row r="652" spans="13:18" ht="8.25" customHeight="1">
      <c r="M652" s="29"/>
      <c r="N652" s="29"/>
      <c r="O652" s="29"/>
      <c r="P652" s="29"/>
      <c r="Q652" s="29"/>
      <c r="R652" s="29"/>
    </row>
    <row r="653" spans="13:18" ht="8.25" customHeight="1">
      <c r="M653" s="29"/>
      <c r="N653" s="29"/>
      <c r="O653" s="29"/>
      <c r="P653" s="29"/>
      <c r="Q653" s="29"/>
      <c r="R653" s="29"/>
    </row>
    <row r="654" spans="13:18" ht="8.25" customHeight="1">
      <c r="M654" s="29"/>
      <c r="N654" s="29"/>
      <c r="O654" s="29"/>
      <c r="P654" s="29"/>
      <c r="Q654" s="29"/>
      <c r="R654" s="29"/>
    </row>
    <row r="655" spans="13:18" ht="8.25" customHeight="1">
      <c r="M655" s="29"/>
      <c r="N655" s="29"/>
      <c r="O655" s="29"/>
      <c r="P655" s="29"/>
      <c r="Q655" s="29"/>
      <c r="R655" s="29"/>
    </row>
    <row r="656" spans="13:18" ht="8.25" customHeight="1">
      <c r="M656" s="29"/>
      <c r="N656" s="29"/>
      <c r="O656" s="29"/>
      <c r="P656" s="29"/>
      <c r="Q656" s="29"/>
      <c r="R656" s="29"/>
    </row>
    <row r="657" spans="13:18" ht="8.25" customHeight="1">
      <c r="M657" s="29"/>
      <c r="N657" s="29"/>
      <c r="O657" s="29"/>
      <c r="P657" s="29"/>
      <c r="Q657" s="29"/>
      <c r="R657" s="29"/>
    </row>
    <row r="658" spans="13:18" ht="8.25" customHeight="1">
      <c r="M658" s="29"/>
      <c r="N658" s="29"/>
      <c r="O658" s="29"/>
      <c r="P658" s="29"/>
      <c r="Q658" s="29"/>
      <c r="R658" s="29"/>
    </row>
    <row r="659" spans="13:18" ht="8.25" customHeight="1">
      <c r="M659" s="29"/>
      <c r="N659" s="29"/>
      <c r="O659" s="29"/>
      <c r="P659" s="29"/>
      <c r="Q659" s="29"/>
      <c r="R659" s="29"/>
    </row>
    <row r="660" spans="13:18" ht="8.25" customHeight="1">
      <c r="M660" s="29"/>
      <c r="N660" s="29"/>
      <c r="O660" s="29"/>
      <c r="P660" s="29"/>
      <c r="Q660" s="29"/>
      <c r="R660" s="29"/>
    </row>
    <row r="661" spans="13:18" ht="8.25" customHeight="1">
      <c r="M661" s="29"/>
      <c r="N661" s="29"/>
      <c r="O661" s="29"/>
      <c r="P661" s="29"/>
      <c r="Q661" s="29"/>
      <c r="R661" s="29"/>
    </row>
    <row r="662" spans="13:18" ht="8.25" customHeight="1">
      <c r="M662" s="29"/>
      <c r="N662" s="29"/>
      <c r="O662" s="29"/>
      <c r="P662" s="29"/>
      <c r="Q662" s="29"/>
      <c r="R662" s="29"/>
    </row>
    <row r="663" spans="13:18" ht="8.25" customHeight="1">
      <c r="M663" s="29"/>
      <c r="N663" s="29"/>
      <c r="O663" s="29"/>
      <c r="P663" s="29"/>
      <c r="Q663" s="29"/>
      <c r="R663" s="29"/>
    </row>
    <row r="664" spans="13:18" ht="8.25" customHeight="1">
      <c r="M664" s="29"/>
      <c r="N664" s="29"/>
      <c r="O664" s="29"/>
      <c r="P664" s="29"/>
      <c r="Q664" s="29"/>
      <c r="R664" s="29"/>
    </row>
    <row r="665" spans="13:18" ht="8.25" customHeight="1">
      <c r="M665" s="29"/>
      <c r="N665" s="29"/>
      <c r="O665" s="29"/>
      <c r="P665" s="29"/>
      <c r="Q665" s="29"/>
      <c r="R665" s="29"/>
    </row>
    <row r="666" spans="13:18" ht="8.25" customHeight="1">
      <c r="M666" s="29"/>
      <c r="N666" s="29"/>
      <c r="O666" s="29"/>
      <c r="P666" s="29"/>
      <c r="Q666" s="29"/>
      <c r="R666" s="29"/>
    </row>
    <row r="667" spans="13:18" ht="8.25" customHeight="1">
      <c r="M667" s="29"/>
      <c r="N667" s="29"/>
      <c r="O667" s="29"/>
      <c r="P667" s="29"/>
      <c r="Q667" s="29"/>
      <c r="R667" s="29"/>
    </row>
    <row r="668" spans="13:18" ht="8.25" customHeight="1">
      <c r="M668" s="29"/>
      <c r="N668" s="29"/>
      <c r="O668" s="29"/>
      <c r="P668" s="29"/>
      <c r="Q668" s="29"/>
      <c r="R668" s="29"/>
    </row>
    <row r="669" spans="13:18" ht="8.25" customHeight="1">
      <c r="M669" s="29"/>
      <c r="N669" s="29"/>
      <c r="O669" s="29"/>
      <c r="P669" s="29"/>
      <c r="Q669" s="29"/>
      <c r="R669" s="29"/>
    </row>
    <row r="670" spans="13:18" ht="8.25" customHeight="1">
      <c r="M670" s="29"/>
      <c r="N670" s="29"/>
      <c r="O670" s="29"/>
      <c r="P670" s="29"/>
      <c r="Q670" s="29"/>
      <c r="R670" s="29"/>
    </row>
    <row r="671" spans="13:18" ht="8.25" customHeight="1">
      <c r="M671" s="29"/>
      <c r="N671" s="29"/>
      <c r="O671" s="29"/>
      <c r="P671" s="29"/>
      <c r="Q671" s="29"/>
      <c r="R671" s="29"/>
    </row>
    <row r="672" spans="13:18" ht="8.25" customHeight="1">
      <c r="M672" s="29"/>
      <c r="N672" s="29"/>
      <c r="O672" s="29"/>
      <c r="P672" s="29"/>
      <c r="Q672" s="29"/>
      <c r="R672" s="29"/>
    </row>
    <row r="673" spans="13:18" ht="8.25" customHeight="1">
      <c r="M673" s="29"/>
      <c r="N673" s="29"/>
      <c r="O673" s="29"/>
      <c r="P673" s="29"/>
      <c r="Q673" s="29"/>
      <c r="R673" s="29"/>
    </row>
    <row r="674" spans="13:18" ht="8.25" customHeight="1">
      <c r="M674" s="29"/>
      <c r="N674" s="29"/>
      <c r="O674" s="29"/>
      <c r="P674" s="29"/>
      <c r="Q674" s="29"/>
      <c r="R674" s="29"/>
    </row>
    <row r="675" spans="13:18" ht="8.25" customHeight="1">
      <c r="M675" s="29"/>
      <c r="N675" s="29"/>
      <c r="O675" s="29"/>
      <c r="P675" s="29"/>
      <c r="Q675" s="29"/>
      <c r="R675" s="29"/>
    </row>
    <row r="676" spans="13:18" ht="8.25" customHeight="1">
      <c r="M676" s="29"/>
      <c r="N676" s="29"/>
      <c r="O676" s="29"/>
      <c r="P676" s="29"/>
      <c r="Q676" s="29"/>
      <c r="R676" s="29"/>
    </row>
    <row r="677" spans="13:18" ht="8.25" customHeight="1">
      <c r="M677" s="29"/>
      <c r="N677" s="29"/>
      <c r="O677" s="29"/>
      <c r="P677" s="29"/>
      <c r="Q677" s="29"/>
      <c r="R677" s="29"/>
    </row>
    <row r="678" spans="13:18" ht="8.25" customHeight="1">
      <c r="M678" s="29"/>
      <c r="N678" s="29"/>
      <c r="O678" s="29"/>
      <c r="P678" s="29"/>
      <c r="Q678" s="29"/>
      <c r="R678" s="29"/>
    </row>
    <row r="679" spans="13:18" ht="8.25" customHeight="1">
      <c r="M679" s="29"/>
      <c r="N679" s="29"/>
      <c r="O679" s="29"/>
      <c r="P679" s="29"/>
      <c r="Q679" s="29"/>
      <c r="R679" s="29"/>
    </row>
    <row r="680" spans="13:18" ht="8.25" customHeight="1">
      <c r="M680" s="29"/>
      <c r="N680" s="29"/>
      <c r="O680" s="29"/>
      <c r="P680" s="29"/>
      <c r="Q680" s="29"/>
      <c r="R680" s="29"/>
    </row>
    <row r="681" spans="13:18" ht="8.25" customHeight="1">
      <c r="M681" s="29"/>
      <c r="N681" s="29"/>
      <c r="O681" s="29"/>
      <c r="P681" s="29"/>
      <c r="Q681" s="29"/>
      <c r="R681" s="29"/>
    </row>
    <row r="682" spans="13:18" ht="8.25" customHeight="1">
      <c r="M682" s="29"/>
      <c r="N682" s="29"/>
      <c r="O682" s="29"/>
      <c r="P682" s="29"/>
      <c r="Q682" s="29"/>
      <c r="R682" s="29"/>
    </row>
    <row r="683" spans="13:18" ht="8.25" customHeight="1">
      <c r="M683" s="29"/>
      <c r="N683" s="29"/>
      <c r="O683" s="29"/>
      <c r="P683" s="29"/>
      <c r="Q683" s="29"/>
      <c r="R683" s="29"/>
    </row>
    <row r="684" spans="13:18" ht="8.25" customHeight="1">
      <c r="M684" s="29"/>
      <c r="N684" s="29"/>
      <c r="O684" s="29"/>
      <c r="P684" s="29"/>
      <c r="Q684" s="29"/>
      <c r="R684" s="29"/>
    </row>
    <row r="685" spans="13:18" ht="8.25" customHeight="1">
      <c r="M685" s="29"/>
      <c r="N685" s="29"/>
      <c r="O685" s="29"/>
      <c r="P685" s="29"/>
      <c r="Q685" s="29"/>
      <c r="R685" s="29"/>
    </row>
    <row r="686" spans="13:18" ht="8.25" customHeight="1">
      <c r="M686" s="29"/>
      <c r="N686" s="29"/>
      <c r="O686" s="29"/>
      <c r="P686" s="29"/>
      <c r="Q686" s="29"/>
      <c r="R686" s="29"/>
    </row>
    <row r="687" spans="13:18" ht="8.25" customHeight="1">
      <c r="M687" s="29"/>
      <c r="N687" s="29"/>
      <c r="O687" s="29"/>
      <c r="P687" s="29"/>
      <c r="Q687" s="29"/>
      <c r="R687" s="29"/>
    </row>
    <row r="688" spans="13:18" ht="8.25" customHeight="1">
      <c r="M688" s="29"/>
      <c r="N688" s="29"/>
      <c r="O688" s="29"/>
      <c r="P688" s="29"/>
      <c r="Q688" s="29"/>
      <c r="R688" s="29"/>
    </row>
    <row r="689" spans="13:18" ht="8.25" customHeight="1">
      <c r="M689" s="29"/>
      <c r="N689" s="29"/>
      <c r="O689" s="29"/>
      <c r="P689" s="29"/>
      <c r="Q689" s="29"/>
      <c r="R689" s="29"/>
    </row>
    <row r="690" spans="13:18" ht="8.25" customHeight="1">
      <c r="M690" s="29"/>
      <c r="N690" s="29"/>
      <c r="O690" s="29"/>
      <c r="P690" s="29"/>
      <c r="Q690" s="29"/>
      <c r="R690" s="29"/>
    </row>
    <row r="691" spans="13:18" ht="8.25" customHeight="1">
      <c r="M691" s="29"/>
      <c r="N691" s="29"/>
      <c r="O691" s="29"/>
      <c r="P691" s="29"/>
      <c r="Q691" s="29"/>
      <c r="R691" s="29"/>
    </row>
    <row r="692" spans="13:18" ht="8.25" customHeight="1">
      <c r="M692" s="29"/>
      <c r="N692" s="29"/>
      <c r="O692" s="29"/>
      <c r="P692" s="29"/>
      <c r="Q692" s="29"/>
      <c r="R692" s="29"/>
    </row>
    <row r="693" spans="13:18" ht="8.25" customHeight="1">
      <c r="M693" s="29"/>
      <c r="N693" s="29"/>
      <c r="O693" s="29"/>
      <c r="P693" s="29"/>
      <c r="Q693" s="29"/>
      <c r="R693" s="29"/>
    </row>
    <row r="694" spans="13:18" ht="8.25" customHeight="1">
      <c r="M694" s="29"/>
      <c r="N694" s="29"/>
      <c r="O694" s="29"/>
      <c r="P694" s="29"/>
      <c r="Q694" s="29"/>
      <c r="R694" s="29"/>
    </row>
    <row r="695" spans="13:18" ht="8.25" customHeight="1">
      <c r="M695" s="29"/>
      <c r="N695" s="29"/>
      <c r="O695" s="29"/>
      <c r="P695" s="29"/>
      <c r="Q695" s="29"/>
      <c r="R695" s="29"/>
    </row>
    <row r="696" spans="13:18" ht="8.25" customHeight="1">
      <c r="M696" s="29"/>
      <c r="N696" s="29"/>
      <c r="O696" s="29"/>
      <c r="P696" s="29"/>
      <c r="Q696" s="29"/>
      <c r="R696" s="29"/>
    </row>
    <row r="697" spans="13:18" ht="8.25" customHeight="1">
      <c r="M697" s="29"/>
      <c r="N697" s="29"/>
      <c r="O697" s="29"/>
      <c r="P697" s="29"/>
      <c r="Q697" s="29"/>
      <c r="R697" s="29"/>
    </row>
    <row r="698" spans="13:18" ht="8.25" customHeight="1">
      <c r="M698" s="29"/>
      <c r="N698" s="29"/>
      <c r="O698" s="29"/>
      <c r="P698" s="29"/>
      <c r="Q698" s="29"/>
      <c r="R698" s="29"/>
    </row>
    <row r="699" spans="13:18" ht="8.25" customHeight="1">
      <c r="M699" s="29"/>
      <c r="N699" s="29"/>
      <c r="O699" s="29"/>
      <c r="P699" s="29"/>
      <c r="Q699" s="29"/>
      <c r="R699" s="29"/>
    </row>
    <row r="700" spans="13:18" ht="8.25" customHeight="1">
      <c r="M700" s="29"/>
      <c r="N700" s="29"/>
      <c r="O700" s="29"/>
      <c r="P700" s="29"/>
      <c r="Q700" s="29"/>
      <c r="R700" s="29"/>
    </row>
    <row r="701" spans="13:18" ht="8.25" customHeight="1">
      <c r="M701" s="29"/>
      <c r="N701" s="29"/>
      <c r="O701" s="29"/>
      <c r="P701" s="29"/>
      <c r="Q701" s="29"/>
      <c r="R701" s="29"/>
    </row>
    <row r="702" spans="13:18" ht="8.25" customHeight="1">
      <c r="M702" s="29"/>
      <c r="N702" s="29"/>
      <c r="O702" s="29"/>
      <c r="P702" s="29"/>
      <c r="Q702" s="29"/>
      <c r="R702" s="29"/>
    </row>
    <row r="703" spans="13:18" ht="8.25" customHeight="1">
      <c r="M703" s="29"/>
      <c r="N703" s="29"/>
      <c r="O703" s="29"/>
      <c r="P703" s="29"/>
      <c r="Q703" s="29"/>
      <c r="R703" s="29"/>
    </row>
    <row r="704" spans="13:18" ht="8.25" customHeight="1">
      <c r="M704" s="29"/>
      <c r="N704" s="29"/>
      <c r="O704" s="29"/>
      <c r="P704" s="29"/>
      <c r="Q704" s="29"/>
      <c r="R704" s="29"/>
    </row>
    <row r="705" spans="13:18" ht="8.25" customHeight="1">
      <c r="M705" s="29"/>
      <c r="N705" s="29"/>
      <c r="O705" s="29"/>
      <c r="P705" s="29"/>
      <c r="Q705" s="29"/>
      <c r="R705" s="29"/>
    </row>
    <row r="706" spans="13:18" ht="8.25" customHeight="1">
      <c r="M706" s="29"/>
      <c r="N706" s="29"/>
      <c r="O706" s="29"/>
      <c r="P706" s="29"/>
      <c r="Q706" s="29"/>
      <c r="R706" s="29"/>
    </row>
    <row r="707" spans="13:18" ht="8.25" customHeight="1">
      <c r="M707" s="29"/>
      <c r="N707" s="29"/>
      <c r="O707" s="29"/>
      <c r="P707" s="29"/>
      <c r="Q707" s="29"/>
      <c r="R707" s="29"/>
    </row>
    <row r="708" spans="13:18" ht="8.25" customHeight="1">
      <c r="M708" s="29"/>
      <c r="N708" s="29"/>
      <c r="O708" s="29"/>
      <c r="P708" s="29"/>
      <c r="Q708" s="29"/>
      <c r="R708" s="29"/>
    </row>
    <row r="709" spans="13:18" ht="8.25" customHeight="1">
      <c r="M709" s="29"/>
      <c r="N709" s="29"/>
      <c r="O709" s="29"/>
      <c r="P709" s="29"/>
      <c r="Q709" s="29"/>
      <c r="R709" s="29"/>
    </row>
    <row r="710" spans="13:18" ht="8.25" customHeight="1">
      <c r="M710" s="29"/>
      <c r="N710" s="29"/>
      <c r="O710" s="29"/>
      <c r="P710" s="29"/>
      <c r="Q710" s="29"/>
      <c r="R710" s="29"/>
    </row>
    <row r="711" spans="13:18" ht="8.25" customHeight="1">
      <c r="M711" s="29"/>
      <c r="N711" s="29"/>
      <c r="O711" s="29"/>
      <c r="P711" s="29"/>
      <c r="Q711" s="29"/>
      <c r="R711" s="29"/>
    </row>
    <row r="712" spans="13:18" ht="8.25" customHeight="1">
      <c r="M712" s="29"/>
      <c r="N712" s="29"/>
      <c r="O712" s="29"/>
      <c r="P712" s="29"/>
      <c r="Q712" s="29"/>
      <c r="R712" s="29"/>
    </row>
    <row r="713" spans="13:18" ht="8.25" customHeight="1">
      <c r="M713" s="29"/>
      <c r="N713" s="29"/>
      <c r="O713" s="29"/>
      <c r="P713" s="29"/>
      <c r="Q713" s="29"/>
      <c r="R713" s="29"/>
    </row>
    <row r="714" spans="13:18" ht="8.25" customHeight="1">
      <c r="M714" s="29"/>
      <c r="N714" s="29"/>
      <c r="O714" s="29"/>
      <c r="P714" s="29"/>
      <c r="Q714" s="29"/>
      <c r="R714" s="29"/>
    </row>
    <row r="715" spans="13:18" ht="8.25" customHeight="1">
      <c r="M715" s="29"/>
      <c r="N715" s="29"/>
      <c r="O715" s="29"/>
      <c r="P715" s="29"/>
      <c r="Q715" s="29"/>
      <c r="R715" s="29"/>
    </row>
    <row r="716" spans="13:18" ht="8.25" customHeight="1">
      <c r="M716" s="29"/>
      <c r="N716" s="29"/>
      <c r="O716" s="29"/>
      <c r="P716" s="29"/>
      <c r="Q716" s="29"/>
      <c r="R716" s="29"/>
    </row>
    <row r="717" spans="13:18" ht="8.25" customHeight="1">
      <c r="M717" s="29"/>
      <c r="N717" s="29"/>
      <c r="O717" s="29"/>
      <c r="P717" s="29"/>
      <c r="Q717" s="29"/>
      <c r="R717" s="29"/>
    </row>
    <row r="718" spans="13:18" ht="8.25" customHeight="1">
      <c r="M718" s="29"/>
      <c r="N718" s="29"/>
      <c r="O718" s="29"/>
      <c r="P718" s="29"/>
      <c r="Q718" s="29"/>
      <c r="R718" s="29"/>
    </row>
    <row r="719" spans="13:18" ht="8.25" customHeight="1">
      <c r="M719" s="29"/>
      <c r="N719" s="29"/>
      <c r="O719" s="29"/>
      <c r="P719" s="29"/>
      <c r="Q719" s="29"/>
      <c r="R719" s="29"/>
    </row>
    <row r="720" spans="13:18" ht="8.25" customHeight="1">
      <c r="M720" s="29"/>
      <c r="N720" s="29"/>
      <c r="O720" s="29"/>
      <c r="P720" s="29"/>
      <c r="Q720" s="29"/>
      <c r="R720" s="29"/>
    </row>
    <row r="721" spans="13:18" ht="8.25" customHeight="1">
      <c r="M721" s="29"/>
      <c r="N721" s="29"/>
      <c r="O721" s="29"/>
      <c r="P721" s="29"/>
      <c r="Q721" s="29"/>
      <c r="R721" s="29"/>
    </row>
    <row r="722" spans="13:18" ht="8.25" customHeight="1">
      <c r="M722" s="29"/>
      <c r="N722" s="29"/>
      <c r="O722" s="29"/>
      <c r="P722" s="29"/>
      <c r="Q722" s="29"/>
      <c r="R722" s="29"/>
    </row>
    <row r="723" spans="13:18" ht="8.25" customHeight="1">
      <c r="M723" s="29"/>
      <c r="N723" s="29"/>
      <c r="O723" s="29"/>
      <c r="P723" s="29"/>
      <c r="Q723" s="29"/>
      <c r="R723" s="29"/>
    </row>
    <row r="724" spans="13:18" ht="8.25" customHeight="1">
      <c r="M724" s="29"/>
      <c r="N724" s="29"/>
      <c r="O724" s="29"/>
      <c r="P724" s="29"/>
      <c r="Q724" s="29"/>
      <c r="R724" s="29"/>
    </row>
    <row r="725" spans="13:18" ht="8.25" customHeight="1">
      <c r="M725" s="29"/>
      <c r="N725" s="29"/>
      <c r="O725" s="29"/>
      <c r="P725" s="29"/>
      <c r="Q725" s="29"/>
      <c r="R725" s="29"/>
    </row>
    <row r="726" spans="13:18" ht="8.25" customHeight="1">
      <c r="M726" s="29"/>
      <c r="N726" s="29"/>
      <c r="O726" s="29"/>
      <c r="P726" s="29"/>
      <c r="Q726" s="29"/>
      <c r="R726" s="29"/>
    </row>
    <row r="727" spans="13:18" ht="8.25" customHeight="1">
      <c r="M727" s="29"/>
      <c r="N727" s="29"/>
      <c r="O727" s="29"/>
      <c r="P727" s="29"/>
      <c r="Q727" s="29"/>
      <c r="R727" s="29"/>
    </row>
    <row r="728" spans="13:18" ht="8.25" customHeight="1">
      <c r="M728" s="29"/>
      <c r="N728" s="29"/>
      <c r="O728" s="29"/>
      <c r="P728" s="29"/>
      <c r="Q728" s="29"/>
      <c r="R728" s="29"/>
    </row>
    <row r="729" spans="13:18" ht="8.25" customHeight="1">
      <c r="M729" s="29"/>
      <c r="N729" s="29"/>
      <c r="O729" s="29"/>
      <c r="P729" s="29"/>
      <c r="Q729" s="29"/>
      <c r="R729" s="29"/>
    </row>
    <row r="730" spans="13:18" ht="8.25" customHeight="1">
      <c r="M730" s="29"/>
      <c r="N730" s="29"/>
      <c r="O730" s="29"/>
      <c r="P730" s="29"/>
      <c r="Q730" s="29"/>
      <c r="R730" s="29"/>
    </row>
    <row r="731" spans="13:18" ht="8.25" customHeight="1">
      <c r="M731" s="29"/>
      <c r="N731" s="29"/>
      <c r="O731" s="29"/>
      <c r="P731" s="29"/>
      <c r="Q731" s="29"/>
      <c r="R731" s="29"/>
    </row>
    <row r="732" spans="13:18" ht="8.25" customHeight="1">
      <c r="M732" s="29"/>
      <c r="N732" s="29"/>
      <c r="O732" s="29"/>
      <c r="P732" s="29"/>
      <c r="Q732" s="29"/>
      <c r="R732" s="29"/>
    </row>
    <row r="733" spans="13:18" ht="8.25" customHeight="1">
      <c r="M733" s="29"/>
      <c r="N733" s="29"/>
      <c r="O733" s="29"/>
      <c r="P733" s="29"/>
      <c r="Q733" s="29"/>
      <c r="R733" s="29"/>
    </row>
    <row r="734" spans="13:18" ht="8.25" customHeight="1">
      <c r="M734" s="29"/>
      <c r="N734" s="29"/>
      <c r="O734" s="29"/>
      <c r="P734" s="29"/>
      <c r="Q734" s="29"/>
      <c r="R734" s="29"/>
    </row>
    <row r="735" spans="13:18" ht="8.25" customHeight="1">
      <c r="M735" s="29"/>
      <c r="N735" s="29"/>
      <c r="O735" s="29"/>
      <c r="P735" s="29"/>
      <c r="Q735" s="29"/>
      <c r="R735" s="29"/>
    </row>
    <row r="736" spans="13:18" ht="8.25" customHeight="1">
      <c r="M736" s="29"/>
      <c r="N736" s="29"/>
      <c r="O736" s="29"/>
      <c r="P736" s="29"/>
      <c r="Q736" s="29"/>
      <c r="R736" s="29"/>
    </row>
    <row r="737" spans="13:18" ht="8.25" customHeight="1">
      <c r="M737" s="29"/>
      <c r="N737" s="29"/>
      <c r="O737" s="29"/>
      <c r="P737" s="29"/>
      <c r="Q737" s="29"/>
      <c r="R737" s="29"/>
    </row>
    <row r="738" spans="13:18" ht="8.25" customHeight="1">
      <c r="M738" s="29"/>
      <c r="N738" s="29"/>
      <c r="O738" s="29"/>
      <c r="P738" s="29"/>
      <c r="Q738" s="29"/>
      <c r="R738" s="29"/>
    </row>
    <row r="739" spans="13:18" ht="8.25" customHeight="1">
      <c r="M739" s="29"/>
      <c r="N739" s="29"/>
      <c r="O739" s="29"/>
      <c r="P739" s="29"/>
      <c r="Q739" s="29"/>
      <c r="R739" s="29"/>
    </row>
    <row r="740" spans="13:18" ht="8.25" customHeight="1">
      <c r="M740" s="29"/>
      <c r="N740" s="29"/>
      <c r="O740" s="29"/>
      <c r="P740" s="29"/>
      <c r="Q740" s="29"/>
      <c r="R740" s="29"/>
    </row>
    <row r="741" spans="13:18" ht="8.25" customHeight="1">
      <c r="M741" s="29"/>
      <c r="N741" s="29"/>
      <c r="O741" s="29"/>
      <c r="P741" s="29"/>
      <c r="Q741" s="29"/>
      <c r="R741" s="29"/>
    </row>
    <row r="742" spans="13:18" ht="8.25" customHeight="1">
      <c r="M742" s="29"/>
      <c r="N742" s="29"/>
      <c r="O742" s="29"/>
      <c r="P742" s="29"/>
      <c r="Q742" s="29"/>
      <c r="R742" s="29"/>
    </row>
    <row r="743" spans="13:18" ht="8.25" customHeight="1">
      <c r="M743" s="29"/>
      <c r="N743" s="29"/>
      <c r="O743" s="29"/>
      <c r="P743" s="29"/>
      <c r="Q743" s="29"/>
      <c r="R743" s="29"/>
    </row>
    <row r="744" spans="13:18" ht="8.25" customHeight="1">
      <c r="M744" s="29"/>
      <c r="N744" s="29"/>
      <c r="O744" s="29"/>
      <c r="P744" s="29"/>
      <c r="Q744" s="29"/>
      <c r="R744" s="29"/>
    </row>
    <row r="745" spans="13:18" ht="8.25" customHeight="1">
      <c r="M745" s="29"/>
      <c r="N745" s="29"/>
      <c r="O745" s="29"/>
      <c r="P745" s="29"/>
      <c r="Q745" s="29"/>
      <c r="R745" s="29"/>
    </row>
    <row r="746" spans="13:18" ht="8.25" customHeight="1">
      <c r="M746" s="29"/>
      <c r="N746" s="29"/>
      <c r="O746" s="29"/>
      <c r="P746" s="29"/>
      <c r="Q746" s="29"/>
      <c r="R746" s="29"/>
    </row>
    <row r="747" spans="13:18" ht="8.25" customHeight="1">
      <c r="M747" s="29"/>
      <c r="N747" s="29"/>
      <c r="O747" s="29"/>
      <c r="P747" s="29"/>
      <c r="Q747" s="29"/>
      <c r="R747" s="29"/>
    </row>
    <row r="748" spans="13:18" ht="8.25" customHeight="1">
      <c r="M748" s="29"/>
      <c r="N748" s="29"/>
      <c r="O748" s="29"/>
      <c r="P748" s="29"/>
      <c r="Q748" s="29"/>
      <c r="R748" s="29"/>
    </row>
    <row r="749" spans="13:18" ht="8.25" customHeight="1">
      <c r="M749" s="29"/>
      <c r="N749" s="29"/>
      <c r="O749" s="29"/>
      <c r="P749" s="29"/>
      <c r="Q749" s="29"/>
      <c r="R749" s="29"/>
    </row>
    <row r="750" spans="13:18" ht="8.25" customHeight="1">
      <c r="M750" s="29"/>
      <c r="N750" s="29"/>
      <c r="O750" s="29"/>
      <c r="P750" s="29"/>
      <c r="Q750" s="29"/>
      <c r="R750" s="29"/>
    </row>
    <row r="751" spans="13:18" ht="8.25" customHeight="1">
      <c r="M751" s="29"/>
      <c r="N751" s="29"/>
      <c r="O751" s="29"/>
      <c r="P751" s="29"/>
      <c r="Q751" s="29"/>
      <c r="R751" s="29"/>
    </row>
    <row r="752" spans="13:18" ht="8.25" customHeight="1">
      <c r="M752" s="29"/>
      <c r="N752" s="29"/>
      <c r="O752" s="29"/>
      <c r="P752" s="29"/>
      <c r="Q752" s="29"/>
      <c r="R752" s="29"/>
    </row>
    <row r="753" spans="13:18" ht="8.25" customHeight="1">
      <c r="M753" s="29"/>
      <c r="N753" s="29"/>
      <c r="O753" s="29"/>
      <c r="P753" s="29"/>
      <c r="Q753" s="29"/>
      <c r="R753" s="29"/>
    </row>
    <row r="754" spans="13:18" ht="8.25" customHeight="1">
      <c r="M754" s="29"/>
      <c r="N754" s="29"/>
      <c r="O754" s="29"/>
      <c r="P754" s="29"/>
      <c r="Q754" s="29"/>
      <c r="R754" s="29"/>
    </row>
    <row r="755" spans="13:18" ht="8.25" customHeight="1">
      <c r="M755" s="29"/>
      <c r="N755" s="29"/>
      <c r="O755" s="29"/>
      <c r="P755" s="29"/>
      <c r="Q755" s="29"/>
      <c r="R755" s="29"/>
    </row>
    <row r="756" spans="13:18" ht="8.25" customHeight="1">
      <c r="M756" s="29"/>
      <c r="N756" s="29"/>
      <c r="O756" s="29"/>
      <c r="P756" s="29"/>
      <c r="Q756" s="29"/>
      <c r="R756" s="29"/>
    </row>
    <row r="757" spans="13:18" ht="8.25" customHeight="1">
      <c r="M757" s="29"/>
      <c r="N757" s="29"/>
      <c r="O757" s="29"/>
      <c r="P757" s="29"/>
      <c r="Q757" s="29"/>
      <c r="R757" s="29"/>
    </row>
    <row r="758" spans="13:18" ht="8.25" customHeight="1">
      <c r="M758" s="29"/>
      <c r="N758" s="29"/>
      <c r="O758" s="29"/>
      <c r="P758" s="29"/>
      <c r="Q758" s="29"/>
      <c r="R758" s="29"/>
    </row>
    <row r="759" spans="13:18" ht="8.25" customHeight="1">
      <c r="M759" s="29"/>
      <c r="N759" s="29"/>
      <c r="O759" s="29"/>
      <c r="P759" s="29"/>
      <c r="Q759" s="29"/>
      <c r="R759" s="29"/>
    </row>
    <row r="760" spans="13:18" ht="8.25" customHeight="1">
      <c r="M760" s="29"/>
      <c r="N760" s="29"/>
      <c r="O760" s="29"/>
      <c r="P760" s="29"/>
      <c r="Q760" s="29"/>
      <c r="R760" s="29"/>
    </row>
    <row r="761" spans="13:18" ht="8.25" customHeight="1">
      <c r="M761" s="29"/>
      <c r="N761" s="29"/>
      <c r="O761" s="29"/>
      <c r="P761" s="29"/>
      <c r="Q761" s="29"/>
      <c r="R761" s="29"/>
    </row>
    <row r="762" spans="13:18" ht="8.25" customHeight="1">
      <c r="M762" s="29"/>
      <c r="N762" s="29"/>
      <c r="O762" s="29"/>
      <c r="P762" s="29"/>
      <c r="Q762" s="29"/>
      <c r="R762" s="29"/>
    </row>
    <row r="763" spans="13:18" ht="8.25" customHeight="1">
      <c r="M763" s="29"/>
      <c r="N763" s="29"/>
      <c r="O763" s="29"/>
      <c r="P763" s="29"/>
      <c r="Q763" s="29"/>
      <c r="R763" s="29"/>
    </row>
    <row r="764" spans="13:18" ht="8.25" customHeight="1">
      <c r="M764" s="29"/>
      <c r="N764" s="29"/>
      <c r="O764" s="29"/>
      <c r="P764" s="29"/>
      <c r="Q764" s="29"/>
      <c r="R764" s="29"/>
    </row>
    <row r="765" spans="13:18" ht="8.25" customHeight="1">
      <c r="M765" s="29"/>
      <c r="N765" s="29"/>
      <c r="O765" s="29"/>
      <c r="P765" s="29"/>
      <c r="Q765" s="29"/>
      <c r="R765" s="29"/>
    </row>
    <row r="766" spans="13:18" ht="8.25" customHeight="1">
      <c r="M766" s="29"/>
      <c r="N766" s="29"/>
      <c r="O766" s="29"/>
      <c r="P766" s="29"/>
      <c r="Q766" s="29"/>
      <c r="R766" s="29"/>
    </row>
    <row r="767" spans="13:18" ht="8.25" customHeight="1">
      <c r="M767" s="29"/>
      <c r="N767" s="29"/>
      <c r="O767" s="29"/>
      <c r="P767" s="29"/>
      <c r="Q767" s="29"/>
      <c r="R767" s="29"/>
    </row>
    <row r="768" spans="13:18" ht="8.25" customHeight="1">
      <c r="M768" s="29"/>
      <c r="N768" s="29"/>
      <c r="O768" s="29"/>
      <c r="P768" s="29"/>
      <c r="Q768" s="29"/>
      <c r="R768" s="29"/>
    </row>
    <row r="769" spans="13:18" ht="8.25" customHeight="1">
      <c r="M769" s="29"/>
      <c r="N769" s="29"/>
      <c r="O769" s="29"/>
      <c r="P769" s="29"/>
      <c r="Q769" s="29"/>
      <c r="R769" s="29"/>
    </row>
    <row r="770" spans="13:18" ht="8.25" customHeight="1">
      <c r="M770" s="29"/>
      <c r="N770" s="29"/>
      <c r="O770" s="29"/>
      <c r="P770" s="29"/>
      <c r="Q770" s="29"/>
      <c r="R770" s="29"/>
    </row>
    <row r="771" spans="13:18" ht="8.25" customHeight="1">
      <c r="M771" s="29"/>
      <c r="N771" s="29"/>
      <c r="O771" s="29"/>
      <c r="P771" s="29"/>
      <c r="Q771" s="29"/>
      <c r="R771" s="29"/>
    </row>
    <row r="772" spans="13:18" ht="8.25" customHeight="1">
      <c r="M772" s="29"/>
      <c r="N772" s="29"/>
      <c r="O772" s="29"/>
      <c r="P772" s="29"/>
      <c r="Q772" s="29"/>
      <c r="R772" s="29"/>
    </row>
    <row r="773" spans="13:18" ht="8.25" customHeight="1">
      <c r="M773" s="29"/>
      <c r="N773" s="29"/>
      <c r="O773" s="29"/>
      <c r="P773" s="29"/>
      <c r="Q773" s="29"/>
      <c r="R773" s="29"/>
    </row>
    <row r="774" spans="13:18" ht="8.25" customHeight="1">
      <c r="M774" s="29"/>
      <c r="N774" s="29"/>
      <c r="O774" s="29"/>
      <c r="P774" s="29"/>
      <c r="Q774" s="29"/>
      <c r="R774" s="29"/>
    </row>
    <row r="775" spans="13:18" ht="8.25" customHeight="1">
      <c r="M775" s="29"/>
      <c r="N775" s="29"/>
      <c r="O775" s="29"/>
      <c r="P775" s="29"/>
      <c r="Q775" s="29"/>
      <c r="R775" s="29"/>
    </row>
    <row r="776" spans="13:18" ht="8.25" customHeight="1">
      <c r="M776" s="29"/>
      <c r="N776" s="29"/>
      <c r="O776" s="29"/>
      <c r="P776" s="29"/>
      <c r="Q776" s="29"/>
      <c r="R776" s="29"/>
    </row>
    <row r="777" spans="13:18" ht="8.25" customHeight="1">
      <c r="M777" s="29"/>
      <c r="N777" s="29"/>
      <c r="O777" s="29"/>
      <c r="P777" s="29"/>
      <c r="Q777" s="29"/>
      <c r="R777" s="29"/>
    </row>
    <row r="778" spans="13:18" ht="8.25" customHeight="1">
      <c r="M778" s="29"/>
      <c r="N778" s="29"/>
      <c r="O778" s="29"/>
      <c r="P778" s="29"/>
      <c r="Q778" s="29"/>
      <c r="R778" s="29"/>
    </row>
    <row r="779" spans="13:18" ht="8.25" customHeight="1">
      <c r="M779" s="29"/>
      <c r="N779" s="29"/>
      <c r="O779" s="29"/>
      <c r="P779" s="29"/>
      <c r="Q779" s="29"/>
      <c r="R779" s="29"/>
    </row>
    <row r="780" spans="13:18" ht="8.25" customHeight="1">
      <c r="M780" s="29"/>
      <c r="N780" s="29"/>
      <c r="O780" s="29"/>
      <c r="P780" s="29"/>
      <c r="Q780" s="29"/>
      <c r="R780" s="29"/>
    </row>
    <row r="781" spans="13:18" ht="8.25" customHeight="1">
      <c r="M781" s="29"/>
      <c r="N781" s="29"/>
      <c r="O781" s="29"/>
      <c r="P781" s="29"/>
      <c r="Q781" s="29"/>
      <c r="R781" s="29"/>
    </row>
    <row r="782" spans="13:18" ht="8.25" customHeight="1">
      <c r="M782" s="29"/>
      <c r="N782" s="29"/>
      <c r="O782" s="29"/>
      <c r="P782" s="29"/>
      <c r="Q782" s="29"/>
      <c r="R782" s="29"/>
    </row>
    <row r="783" spans="13:18" ht="8.25" customHeight="1">
      <c r="M783" s="29"/>
      <c r="N783" s="29"/>
      <c r="O783" s="29"/>
      <c r="P783" s="29"/>
      <c r="Q783" s="29"/>
      <c r="R783" s="29"/>
    </row>
    <row r="784" spans="13:18" ht="8.25" customHeight="1">
      <c r="M784" s="29"/>
      <c r="N784" s="29"/>
      <c r="O784" s="29"/>
      <c r="P784" s="29"/>
      <c r="Q784" s="29"/>
      <c r="R784" s="29"/>
    </row>
    <row r="785" spans="13:18" ht="8.25" customHeight="1">
      <c r="M785" s="29"/>
      <c r="N785" s="29"/>
      <c r="O785" s="29"/>
      <c r="P785" s="29"/>
      <c r="Q785" s="29"/>
      <c r="R785" s="29"/>
    </row>
    <row r="786" spans="13:18" ht="8.25" customHeight="1">
      <c r="M786" s="29"/>
      <c r="N786" s="29"/>
      <c r="O786" s="29"/>
      <c r="P786" s="29"/>
      <c r="Q786" s="29"/>
      <c r="R786" s="29"/>
    </row>
    <row r="787" spans="13:18" ht="8.25" customHeight="1">
      <c r="M787" s="29"/>
      <c r="N787" s="29"/>
      <c r="O787" s="29"/>
      <c r="P787" s="29"/>
      <c r="Q787" s="29"/>
      <c r="R787" s="29"/>
    </row>
    <row r="788" spans="13:18" ht="8.25" customHeight="1">
      <c r="M788" s="29"/>
      <c r="N788" s="29"/>
      <c r="O788" s="29"/>
      <c r="P788" s="29"/>
      <c r="Q788" s="29"/>
      <c r="R788" s="29"/>
    </row>
    <row r="789" spans="13:18" ht="8.25" customHeight="1">
      <c r="M789" s="29"/>
      <c r="N789" s="29"/>
      <c r="O789" s="29"/>
      <c r="P789" s="29"/>
      <c r="Q789" s="29"/>
      <c r="R789" s="29"/>
    </row>
    <row r="790" spans="13:18" ht="8.25" customHeight="1">
      <c r="M790" s="29"/>
      <c r="N790" s="29"/>
      <c r="O790" s="29"/>
      <c r="P790" s="29"/>
      <c r="Q790" s="29"/>
      <c r="R790" s="29"/>
    </row>
    <row r="791" spans="13:18" ht="8.25" customHeight="1">
      <c r="M791" s="29"/>
      <c r="N791" s="29"/>
      <c r="O791" s="29"/>
      <c r="P791" s="29"/>
      <c r="Q791" s="29"/>
      <c r="R791" s="29"/>
    </row>
    <row r="792" spans="13:18" ht="8.25" customHeight="1">
      <c r="M792" s="29"/>
      <c r="N792" s="29"/>
      <c r="O792" s="29"/>
      <c r="P792" s="29"/>
      <c r="Q792" s="29"/>
      <c r="R792" s="29"/>
    </row>
    <row r="793" spans="13:18" ht="8.25" customHeight="1">
      <c r="M793" s="29"/>
      <c r="N793" s="29"/>
      <c r="O793" s="29"/>
      <c r="P793" s="29"/>
      <c r="Q793" s="29"/>
      <c r="R793" s="29"/>
    </row>
    <row r="794" spans="13:18" ht="8.25" customHeight="1">
      <c r="M794" s="29"/>
      <c r="N794" s="29"/>
      <c r="O794" s="29"/>
      <c r="P794" s="29"/>
      <c r="Q794" s="29"/>
      <c r="R794" s="29"/>
    </row>
    <row r="795" spans="13:18" ht="8.25" customHeight="1">
      <c r="M795" s="29"/>
      <c r="N795" s="29"/>
      <c r="O795" s="29"/>
      <c r="P795" s="29"/>
      <c r="Q795" s="29"/>
      <c r="R795" s="29"/>
    </row>
    <row r="796" spans="13:18" ht="8.25" customHeight="1">
      <c r="M796" s="29"/>
      <c r="N796" s="29"/>
      <c r="O796" s="29"/>
      <c r="P796" s="29"/>
      <c r="Q796" s="29"/>
      <c r="R796" s="29"/>
    </row>
    <row r="797" spans="13:18" ht="8.25" customHeight="1">
      <c r="M797" s="29"/>
      <c r="N797" s="29"/>
      <c r="O797" s="29"/>
      <c r="P797" s="29"/>
      <c r="Q797" s="29"/>
      <c r="R797" s="29"/>
    </row>
    <row r="798" spans="13:18" ht="8.25" customHeight="1">
      <c r="M798" s="29"/>
      <c r="N798" s="29"/>
      <c r="O798" s="29"/>
      <c r="P798" s="29"/>
      <c r="Q798" s="29"/>
      <c r="R798" s="29"/>
    </row>
    <row r="799" spans="13:18" ht="8.25" customHeight="1">
      <c r="M799" s="29"/>
      <c r="N799" s="29"/>
      <c r="O799" s="29"/>
      <c r="P799" s="29"/>
      <c r="Q799" s="29"/>
      <c r="R799" s="29"/>
    </row>
    <row r="800" spans="13:18" ht="8.25" customHeight="1">
      <c r="M800" s="29"/>
      <c r="N800" s="29"/>
      <c r="O800" s="29"/>
      <c r="P800" s="29"/>
      <c r="Q800" s="29"/>
      <c r="R800" s="29"/>
    </row>
    <row r="801" spans="13:18" ht="8.25" customHeight="1">
      <c r="M801" s="29"/>
      <c r="N801" s="29"/>
      <c r="O801" s="29"/>
      <c r="P801" s="29"/>
      <c r="Q801" s="29"/>
      <c r="R801" s="29"/>
    </row>
    <row r="802" spans="13:18" ht="8.25" customHeight="1">
      <c r="M802" s="29"/>
      <c r="N802" s="29"/>
      <c r="O802" s="29"/>
      <c r="P802" s="29"/>
      <c r="Q802" s="29"/>
      <c r="R802" s="29"/>
    </row>
    <row r="803" spans="13:18" ht="8.25" customHeight="1">
      <c r="M803" s="29"/>
      <c r="N803" s="29"/>
      <c r="O803" s="29"/>
      <c r="P803" s="29"/>
      <c r="Q803" s="29"/>
      <c r="R803" s="29"/>
    </row>
    <row r="804" spans="13:18" ht="8.25" customHeight="1">
      <c r="M804" s="29"/>
      <c r="N804" s="29"/>
      <c r="O804" s="29"/>
      <c r="P804" s="29"/>
      <c r="Q804" s="29"/>
      <c r="R804" s="29"/>
    </row>
    <row r="805" spans="13:18" ht="8.25" customHeight="1">
      <c r="M805" s="29"/>
      <c r="N805" s="29"/>
      <c r="O805" s="29"/>
      <c r="P805" s="29"/>
      <c r="Q805" s="29"/>
      <c r="R805" s="29"/>
    </row>
    <row r="806" spans="13:18" ht="8.25" customHeight="1">
      <c r="M806" s="29"/>
      <c r="N806" s="29"/>
      <c r="O806" s="29"/>
      <c r="P806" s="29"/>
      <c r="Q806" s="29"/>
      <c r="R806" s="29"/>
    </row>
    <row r="807" spans="13:18" ht="8.25" customHeight="1">
      <c r="M807" s="29"/>
      <c r="N807" s="29"/>
      <c r="O807" s="29"/>
      <c r="P807" s="29"/>
      <c r="Q807" s="29"/>
      <c r="R807" s="29"/>
    </row>
    <row r="808" spans="13:18" ht="8.25" customHeight="1">
      <c r="M808" s="29"/>
      <c r="N808" s="29"/>
      <c r="O808" s="29"/>
      <c r="P808" s="29"/>
      <c r="Q808" s="29"/>
      <c r="R808" s="29"/>
    </row>
    <row r="809" spans="13:18" ht="8.25" customHeight="1">
      <c r="M809" s="29"/>
      <c r="N809" s="29"/>
      <c r="O809" s="29"/>
      <c r="P809" s="29"/>
      <c r="Q809" s="29"/>
      <c r="R809" s="29"/>
    </row>
    <row r="810" spans="13:18" ht="8.25" customHeight="1">
      <c r="M810" s="29"/>
      <c r="N810" s="29"/>
      <c r="O810" s="29"/>
      <c r="P810" s="29"/>
      <c r="Q810" s="29"/>
      <c r="R810" s="29"/>
    </row>
    <row r="811" spans="13:18" ht="8.25" customHeight="1">
      <c r="M811" s="29"/>
      <c r="N811" s="29"/>
      <c r="O811" s="29"/>
      <c r="P811" s="29"/>
      <c r="Q811" s="29"/>
      <c r="R811" s="29"/>
    </row>
    <row r="812" spans="13:18" ht="8.25" customHeight="1">
      <c r="M812" s="29"/>
      <c r="N812" s="29"/>
      <c r="O812" s="29"/>
      <c r="P812" s="29"/>
      <c r="Q812" s="29"/>
      <c r="R812" s="29"/>
    </row>
    <row r="813" spans="13:18" ht="8.25" customHeight="1">
      <c r="M813" s="29"/>
      <c r="N813" s="29"/>
      <c r="O813" s="29"/>
      <c r="P813" s="29"/>
      <c r="Q813" s="29"/>
      <c r="R813" s="29"/>
    </row>
    <row r="814" spans="13:18" ht="8.25" customHeight="1">
      <c r="M814" s="29"/>
      <c r="N814" s="29"/>
      <c r="O814" s="29"/>
      <c r="P814" s="29"/>
      <c r="Q814" s="29"/>
      <c r="R814" s="29"/>
    </row>
    <row r="815" spans="13:18" ht="8.25" customHeight="1">
      <c r="M815" s="29"/>
      <c r="N815" s="29"/>
      <c r="O815" s="29"/>
      <c r="P815" s="29"/>
      <c r="Q815" s="29"/>
      <c r="R815" s="29"/>
    </row>
    <row r="816" spans="13:18" ht="8.25" customHeight="1">
      <c r="M816" s="29"/>
      <c r="N816" s="29"/>
      <c r="O816" s="29"/>
      <c r="P816" s="29"/>
      <c r="Q816" s="29"/>
      <c r="R816" s="29"/>
    </row>
    <row r="817" spans="13:18" ht="8.25" customHeight="1">
      <c r="M817" s="29"/>
      <c r="N817" s="29"/>
      <c r="O817" s="29"/>
      <c r="P817" s="29"/>
      <c r="Q817" s="29"/>
      <c r="R817" s="29"/>
    </row>
    <row r="818" spans="13:18" ht="8.25" customHeight="1">
      <c r="M818" s="29"/>
      <c r="N818" s="29"/>
      <c r="O818" s="29"/>
      <c r="P818" s="29"/>
      <c r="Q818" s="29"/>
      <c r="R818" s="29"/>
    </row>
    <row r="819" spans="13:18" ht="8.25" customHeight="1">
      <c r="M819" s="29"/>
      <c r="N819" s="29"/>
      <c r="O819" s="29"/>
      <c r="P819" s="29"/>
      <c r="Q819" s="29"/>
      <c r="R819" s="29"/>
    </row>
    <row r="820" spans="13:18" ht="8.25" customHeight="1">
      <c r="M820" s="29"/>
      <c r="N820" s="29"/>
      <c r="O820" s="29"/>
      <c r="P820" s="29"/>
      <c r="Q820" s="29"/>
      <c r="R820" s="29"/>
    </row>
    <row r="821" spans="13:18" ht="8.25" customHeight="1">
      <c r="M821" s="29"/>
      <c r="N821" s="29"/>
      <c r="O821" s="29"/>
      <c r="P821" s="29"/>
      <c r="Q821" s="29"/>
      <c r="R821" s="29"/>
    </row>
    <row r="822" spans="13:18" ht="8.25" customHeight="1">
      <c r="M822" s="29"/>
      <c r="N822" s="29"/>
      <c r="O822" s="29"/>
      <c r="P822" s="29"/>
      <c r="Q822" s="29"/>
      <c r="R822" s="29"/>
    </row>
    <row r="823" spans="13:18" ht="8.25" customHeight="1">
      <c r="M823" s="29"/>
      <c r="N823" s="29"/>
      <c r="O823" s="29"/>
      <c r="P823" s="29"/>
      <c r="Q823" s="29"/>
      <c r="R823" s="29"/>
    </row>
    <row r="824" spans="13:18" ht="8.25" customHeight="1">
      <c r="M824" s="29"/>
      <c r="N824" s="29"/>
      <c r="O824" s="29"/>
      <c r="P824" s="29"/>
      <c r="Q824" s="29"/>
      <c r="R824" s="29"/>
    </row>
    <row r="825" spans="13:18" ht="8.25" customHeight="1">
      <c r="M825" s="29"/>
      <c r="N825" s="29"/>
      <c r="O825" s="29"/>
      <c r="P825" s="29"/>
      <c r="Q825" s="29"/>
      <c r="R825" s="29"/>
    </row>
    <row r="826" spans="13:18" ht="8.25" customHeight="1">
      <c r="M826" s="29"/>
      <c r="N826" s="29"/>
      <c r="O826" s="29"/>
      <c r="P826" s="29"/>
      <c r="Q826" s="29"/>
      <c r="R826" s="29"/>
    </row>
    <row r="827" spans="13:18" ht="8.25" customHeight="1">
      <c r="M827" s="29"/>
      <c r="N827" s="29"/>
      <c r="O827" s="29"/>
      <c r="P827" s="29"/>
      <c r="Q827" s="29"/>
      <c r="R827" s="29"/>
    </row>
    <row r="828" spans="13:18" ht="8.25" customHeight="1">
      <c r="M828" s="29"/>
      <c r="N828" s="29"/>
      <c r="O828" s="29"/>
      <c r="P828" s="29"/>
      <c r="Q828" s="29"/>
      <c r="R828" s="29"/>
    </row>
    <row r="829" spans="13:18" ht="8.25" customHeight="1">
      <c r="M829" s="29"/>
      <c r="N829" s="29"/>
      <c r="O829" s="29"/>
      <c r="P829" s="29"/>
      <c r="Q829" s="29"/>
      <c r="R829" s="29"/>
    </row>
    <row r="830" spans="13:18" ht="8.25" customHeight="1">
      <c r="M830" s="29"/>
      <c r="N830" s="29"/>
      <c r="O830" s="29"/>
      <c r="P830" s="29"/>
      <c r="Q830" s="29"/>
      <c r="R830" s="29"/>
    </row>
    <row r="831" spans="13:18" ht="8.25" customHeight="1">
      <c r="M831" s="29"/>
      <c r="N831" s="29"/>
      <c r="O831" s="29"/>
      <c r="P831" s="29"/>
      <c r="Q831" s="29"/>
      <c r="R831" s="29"/>
    </row>
    <row r="832" spans="13:18" ht="8.25" customHeight="1">
      <c r="M832" s="29"/>
      <c r="N832" s="29"/>
      <c r="O832" s="29"/>
      <c r="P832" s="29"/>
      <c r="Q832" s="29"/>
      <c r="R832" s="29"/>
    </row>
    <row r="833" spans="13:18" ht="8.25" customHeight="1">
      <c r="M833" s="29"/>
      <c r="N833" s="29"/>
      <c r="O833" s="29"/>
      <c r="P833" s="29"/>
      <c r="Q833" s="29"/>
      <c r="R833" s="29"/>
    </row>
    <row r="834" spans="13:18" ht="8.25" customHeight="1">
      <c r="M834" s="29"/>
      <c r="N834" s="29"/>
      <c r="O834" s="29"/>
      <c r="P834" s="29"/>
      <c r="Q834" s="29"/>
      <c r="R834" s="29"/>
    </row>
    <row r="835" spans="13:18" ht="8.25" customHeight="1">
      <c r="M835" s="29"/>
      <c r="N835" s="29"/>
      <c r="O835" s="29"/>
      <c r="P835" s="29"/>
      <c r="Q835" s="29"/>
      <c r="R835" s="29"/>
    </row>
    <row r="836" spans="13:18" ht="8.25" customHeight="1">
      <c r="M836" s="29"/>
      <c r="N836" s="29"/>
      <c r="O836" s="29"/>
      <c r="P836" s="29"/>
      <c r="Q836" s="29"/>
      <c r="R836" s="29"/>
    </row>
    <row r="837" spans="13:18" ht="8.25" customHeight="1">
      <c r="M837" s="29"/>
      <c r="N837" s="29"/>
      <c r="O837" s="29"/>
      <c r="P837" s="29"/>
      <c r="Q837" s="29"/>
      <c r="R837" s="29"/>
    </row>
    <row r="838" spans="13:18" ht="8.25" customHeight="1">
      <c r="M838" s="29"/>
      <c r="N838" s="29"/>
      <c r="O838" s="29"/>
      <c r="P838" s="29"/>
      <c r="Q838" s="29"/>
      <c r="R838" s="29"/>
    </row>
    <row r="839" spans="13:18" ht="8.25" customHeight="1">
      <c r="M839" s="29"/>
      <c r="N839" s="29"/>
      <c r="O839" s="29"/>
      <c r="P839" s="29"/>
      <c r="Q839" s="29"/>
      <c r="R839" s="29"/>
    </row>
    <row r="840" spans="13:18" ht="8.25" customHeight="1">
      <c r="M840" s="29"/>
      <c r="N840" s="29"/>
      <c r="O840" s="29"/>
      <c r="P840" s="29"/>
      <c r="Q840" s="29"/>
      <c r="R840" s="29"/>
    </row>
    <row r="841" spans="13:18" ht="8.25" customHeight="1">
      <c r="M841" s="29"/>
      <c r="N841" s="29"/>
      <c r="O841" s="29"/>
      <c r="P841" s="29"/>
      <c r="Q841" s="29"/>
      <c r="R841" s="29"/>
    </row>
    <row r="842" spans="13:18" ht="8.25" customHeight="1">
      <c r="M842" s="29"/>
      <c r="N842" s="29"/>
      <c r="O842" s="29"/>
      <c r="P842" s="29"/>
      <c r="Q842" s="29"/>
      <c r="R842" s="29"/>
    </row>
    <row r="843" spans="13:18" ht="8.25" customHeight="1">
      <c r="M843" s="29"/>
      <c r="N843" s="29"/>
      <c r="O843" s="29"/>
      <c r="P843" s="29"/>
      <c r="Q843" s="29"/>
      <c r="R843" s="29"/>
    </row>
    <row r="844" spans="13:18" ht="8.25" customHeight="1">
      <c r="M844" s="29"/>
      <c r="N844" s="29"/>
      <c r="O844" s="29"/>
      <c r="P844" s="29"/>
      <c r="Q844" s="29"/>
      <c r="R844" s="29"/>
    </row>
    <row r="845" spans="13:18" ht="8.25" customHeight="1">
      <c r="M845" s="29"/>
      <c r="N845" s="29"/>
      <c r="O845" s="29"/>
      <c r="P845" s="29"/>
      <c r="Q845" s="29"/>
      <c r="R845" s="29"/>
    </row>
    <row r="846" spans="13:18" ht="8.25" customHeight="1">
      <c r="M846" s="29"/>
      <c r="N846" s="29"/>
      <c r="O846" s="29"/>
      <c r="P846" s="29"/>
      <c r="Q846" s="29"/>
      <c r="R846" s="29"/>
    </row>
    <row r="847" spans="13:18" ht="8.25" customHeight="1">
      <c r="M847" s="29"/>
      <c r="N847" s="29"/>
      <c r="O847" s="29"/>
      <c r="P847" s="29"/>
      <c r="Q847" s="29"/>
      <c r="R847" s="29"/>
    </row>
    <row r="848" spans="13:18" ht="8.25" customHeight="1">
      <c r="M848" s="29"/>
      <c r="N848" s="29"/>
      <c r="O848" s="29"/>
      <c r="P848" s="29"/>
      <c r="Q848" s="29"/>
      <c r="R848" s="29"/>
    </row>
    <row r="849" spans="13:18" ht="8.25" customHeight="1">
      <c r="M849" s="29"/>
      <c r="N849" s="29"/>
      <c r="O849" s="29"/>
      <c r="P849" s="29"/>
      <c r="Q849" s="29"/>
      <c r="R849" s="29"/>
    </row>
    <row r="850" spans="13:18" ht="8.25" customHeight="1">
      <c r="M850" s="29"/>
      <c r="N850" s="29"/>
      <c r="O850" s="29"/>
      <c r="P850" s="29"/>
      <c r="Q850" s="29"/>
      <c r="R850" s="29"/>
    </row>
    <row r="851" spans="13:18" ht="8.25" customHeight="1">
      <c r="M851" s="29"/>
      <c r="N851" s="29"/>
      <c r="O851" s="29"/>
      <c r="P851" s="29"/>
      <c r="Q851" s="29"/>
      <c r="R851" s="29"/>
    </row>
    <row r="852" spans="13:18" ht="8.25" customHeight="1">
      <c r="M852" s="29"/>
      <c r="N852" s="29"/>
      <c r="O852" s="29"/>
      <c r="P852" s="29"/>
      <c r="Q852" s="29"/>
      <c r="R852" s="29"/>
    </row>
    <row r="853" spans="13:18" ht="8.25" customHeight="1">
      <c r="M853" s="29"/>
      <c r="N853" s="29"/>
      <c r="O853" s="29"/>
      <c r="P853" s="29"/>
      <c r="Q853" s="29"/>
      <c r="R853" s="29"/>
    </row>
    <row r="854" spans="13:18" ht="8.25" customHeight="1">
      <c r="M854" s="29"/>
      <c r="N854" s="29"/>
      <c r="O854" s="29"/>
      <c r="P854" s="29"/>
      <c r="Q854" s="29"/>
      <c r="R854" s="29"/>
    </row>
    <row r="855" spans="13:18" ht="8.25" customHeight="1">
      <c r="M855" s="29"/>
      <c r="N855" s="29"/>
      <c r="O855" s="29"/>
      <c r="P855" s="29"/>
      <c r="Q855" s="29"/>
      <c r="R855" s="29"/>
    </row>
    <row r="856" spans="13:18" ht="8.25" customHeight="1">
      <c r="M856" s="29"/>
      <c r="N856" s="29"/>
      <c r="O856" s="29"/>
      <c r="P856" s="29"/>
      <c r="Q856" s="29"/>
      <c r="R856" s="29"/>
    </row>
    <row r="857" spans="13:18" ht="8.25" customHeight="1">
      <c r="M857" s="29"/>
      <c r="N857" s="29"/>
      <c r="O857" s="29"/>
      <c r="P857" s="29"/>
      <c r="Q857" s="29"/>
      <c r="R857" s="29"/>
    </row>
    <row r="858" spans="13:18" ht="8.25" customHeight="1">
      <c r="M858" s="29"/>
      <c r="N858" s="29"/>
      <c r="O858" s="29"/>
      <c r="P858" s="29"/>
      <c r="Q858" s="29"/>
      <c r="R858" s="29"/>
    </row>
    <row r="859" spans="13:18" ht="8.25" customHeight="1">
      <c r="M859" s="29"/>
      <c r="N859" s="29"/>
      <c r="O859" s="29"/>
      <c r="P859" s="29"/>
      <c r="Q859" s="29"/>
      <c r="R859" s="29"/>
    </row>
    <row r="860" spans="13:18" ht="8.25" customHeight="1">
      <c r="M860" s="29"/>
      <c r="N860" s="29"/>
      <c r="O860" s="29"/>
      <c r="P860" s="29"/>
      <c r="Q860" s="29"/>
      <c r="R860" s="29"/>
    </row>
    <row r="861" spans="13:18" ht="8.25" customHeight="1">
      <c r="M861" s="29"/>
      <c r="N861" s="29"/>
      <c r="O861" s="29"/>
      <c r="P861" s="29"/>
      <c r="Q861" s="29"/>
      <c r="R861" s="29"/>
    </row>
    <row r="862" spans="13:18" ht="8.25" customHeight="1">
      <c r="M862" s="29"/>
      <c r="N862" s="29"/>
      <c r="O862" s="29"/>
      <c r="P862" s="29"/>
      <c r="Q862" s="29"/>
      <c r="R862" s="29"/>
    </row>
    <row r="863" spans="13:18" ht="8.25" customHeight="1">
      <c r="M863" s="29"/>
      <c r="N863" s="29"/>
      <c r="O863" s="29"/>
      <c r="P863" s="29"/>
      <c r="Q863" s="29"/>
      <c r="R863" s="29"/>
    </row>
    <row r="864" spans="13:18" ht="8.25" customHeight="1">
      <c r="M864" s="29"/>
      <c r="N864" s="29"/>
      <c r="O864" s="29"/>
      <c r="P864" s="29"/>
      <c r="Q864" s="29"/>
      <c r="R864" s="29"/>
    </row>
    <row r="865" spans="13:18" ht="8.25" customHeight="1">
      <c r="M865" s="29"/>
      <c r="N865" s="29"/>
      <c r="O865" s="29"/>
      <c r="P865" s="29"/>
      <c r="Q865" s="29"/>
      <c r="R865" s="29"/>
    </row>
    <row r="866" spans="13:18" ht="8.25" customHeight="1">
      <c r="M866" s="29"/>
      <c r="N866" s="29"/>
      <c r="O866" s="29"/>
      <c r="P866" s="29"/>
      <c r="Q866" s="29"/>
      <c r="R866" s="29"/>
    </row>
    <row r="867" spans="13:18" ht="8.25" customHeight="1">
      <c r="M867" s="29"/>
      <c r="N867" s="29"/>
      <c r="O867" s="29"/>
      <c r="P867" s="29"/>
      <c r="Q867" s="29"/>
      <c r="R867" s="29"/>
    </row>
    <row r="868" spans="13:18" ht="8.25" customHeight="1">
      <c r="M868" s="29"/>
      <c r="N868" s="29"/>
      <c r="O868" s="29"/>
      <c r="P868" s="29"/>
      <c r="Q868" s="29"/>
      <c r="R868" s="29"/>
    </row>
    <row r="869" spans="13:18" ht="8.25" customHeight="1">
      <c r="M869" s="29"/>
      <c r="N869" s="29"/>
      <c r="O869" s="29"/>
      <c r="P869" s="29"/>
      <c r="Q869" s="29"/>
      <c r="R869" s="29"/>
    </row>
    <row r="870" spans="13:18" ht="8.25" customHeight="1">
      <c r="M870" s="29"/>
      <c r="N870" s="29"/>
      <c r="O870" s="29"/>
      <c r="P870" s="29"/>
      <c r="Q870" s="29"/>
      <c r="R870" s="29"/>
    </row>
    <row r="871" spans="13:18" ht="8.25" customHeight="1">
      <c r="M871" s="29"/>
      <c r="N871" s="29"/>
      <c r="O871" s="29"/>
      <c r="P871" s="29"/>
      <c r="Q871" s="29"/>
      <c r="R871" s="29"/>
    </row>
    <row r="872" spans="13:18" ht="8.25" customHeight="1">
      <c r="M872" s="29"/>
      <c r="N872" s="29"/>
      <c r="O872" s="29"/>
      <c r="P872" s="29"/>
      <c r="Q872" s="29"/>
      <c r="R872" s="29"/>
    </row>
    <row r="873" spans="13:18" ht="8.25" customHeight="1">
      <c r="M873" s="29"/>
      <c r="N873" s="29"/>
      <c r="O873" s="29"/>
      <c r="P873" s="29"/>
      <c r="Q873" s="29"/>
      <c r="R873" s="29"/>
    </row>
    <row r="874" spans="13:18" ht="8.25" customHeight="1">
      <c r="M874" s="29"/>
      <c r="N874" s="29"/>
      <c r="O874" s="29"/>
      <c r="P874" s="29"/>
      <c r="Q874" s="29"/>
      <c r="R874" s="29"/>
    </row>
    <row r="875" spans="13:18" ht="8.25" customHeight="1">
      <c r="M875" s="29"/>
      <c r="N875" s="29"/>
      <c r="O875" s="29"/>
      <c r="P875" s="29"/>
      <c r="Q875" s="29"/>
      <c r="R875" s="29"/>
    </row>
    <row r="876" spans="13:18" ht="8.25" customHeight="1">
      <c r="M876" s="29"/>
      <c r="N876" s="29"/>
      <c r="O876" s="29"/>
      <c r="P876" s="29"/>
      <c r="Q876" s="29"/>
      <c r="R876" s="29"/>
    </row>
    <row r="877" spans="13:18" ht="8.25" customHeight="1">
      <c r="M877" s="29"/>
      <c r="N877" s="29"/>
      <c r="O877" s="29"/>
      <c r="P877" s="29"/>
      <c r="Q877" s="29"/>
      <c r="R877" s="29"/>
    </row>
    <row r="878" spans="13:18" ht="8.25" customHeight="1">
      <c r="M878" s="29"/>
      <c r="N878" s="29"/>
      <c r="O878" s="29"/>
      <c r="P878" s="29"/>
      <c r="Q878" s="29"/>
      <c r="R878" s="29"/>
    </row>
    <row r="879" spans="13:18" ht="8.25" customHeight="1">
      <c r="M879" s="29"/>
      <c r="N879" s="29"/>
      <c r="O879" s="29"/>
      <c r="P879" s="29"/>
      <c r="Q879" s="29"/>
      <c r="R879" s="29"/>
    </row>
    <row r="880" spans="13:18" ht="8.25" customHeight="1">
      <c r="M880" s="29"/>
      <c r="N880" s="29"/>
      <c r="O880" s="29"/>
      <c r="P880" s="29"/>
      <c r="Q880" s="29"/>
      <c r="R880" s="29"/>
    </row>
    <row r="881" spans="13:18" ht="8.25" customHeight="1">
      <c r="M881" s="29"/>
      <c r="N881" s="29"/>
      <c r="O881" s="29"/>
      <c r="P881" s="29"/>
      <c r="Q881" s="29"/>
      <c r="R881" s="29"/>
    </row>
    <row r="882" spans="13:18" ht="8.25" customHeight="1">
      <c r="M882" s="29"/>
      <c r="N882" s="29"/>
      <c r="O882" s="29"/>
      <c r="P882" s="29"/>
      <c r="Q882" s="29"/>
      <c r="R882" s="29"/>
    </row>
    <row r="883" spans="13:18" ht="8.25" customHeight="1">
      <c r="M883" s="29"/>
      <c r="N883" s="29"/>
      <c r="O883" s="29"/>
      <c r="P883" s="29"/>
      <c r="Q883" s="29"/>
      <c r="R883" s="29"/>
    </row>
    <row r="884" spans="13:18" ht="8.25" customHeight="1">
      <c r="M884" s="29"/>
      <c r="N884" s="29"/>
      <c r="O884" s="29"/>
      <c r="P884" s="29"/>
      <c r="Q884" s="29"/>
      <c r="R884" s="29"/>
    </row>
    <row r="885" spans="13:18" ht="8.25" customHeight="1">
      <c r="M885" s="29"/>
      <c r="N885" s="29"/>
      <c r="O885" s="29"/>
      <c r="P885" s="29"/>
      <c r="Q885" s="29"/>
      <c r="R885" s="29"/>
    </row>
    <row r="886" spans="13:18" ht="8.25" customHeight="1">
      <c r="M886" s="29"/>
      <c r="N886" s="29"/>
      <c r="O886" s="29"/>
      <c r="P886" s="29"/>
      <c r="Q886" s="29"/>
      <c r="R886" s="29"/>
    </row>
    <row r="887" spans="13:18" ht="8.25" customHeight="1">
      <c r="M887" s="29"/>
      <c r="N887" s="29"/>
      <c r="O887" s="29"/>
      <c r="P887" s="29"/>
      <c r="Q887" s="29"/>
      <c r="R887" s="29"/>
    </row>
    <row r="888" spans="13:18" ht="8.25" customHeight="1">
      <c r="M888" s="29"/>
      <c r="N888" s="29"/>
      <c r="O888" s="29"/>
      <c r="P888" s="29"/>
      <c r="Q888" s="29"/>
      <c r="R888" s="29"/>
    </row>
    <row r="889" spans="13:18" ht="8.25" customHeight="1">
      <c r="M889" s="29"/>
      <c r="N889" s="29"/>
      <c r="O889" s="29"/>
      <c r="P889" s="29"/>
      <c r="Q889" s="29"/>
      <c r="R889" s="29"/>
    </row>
    <row r="890" spans="13:18" ht="8.25" customHeight="1">
      <c r="M890" s="29"/>
      <c r="N890" s="29"/>
      <c r="O890" s="29"/>
      <c r="P890" s="29"/>
      <c r="Q890" s="29"/>
      <c r="R890" s="29"/>
    </row>
    <row r="891" spans="13:18" ht="8.25" customHeight="1">
      <c r="M891" s="29"/>
      <c r="N891" s="29"/>
      <c r="O891" s="29"/>
      <c r="P891" s="29"/>
      <c r="Q891" s="29"/>
      <c r="R891" s="29"/>
    </row>
    <row r="892" spans="13:18" ht="8.25" customHeight="1">
      <c r="M892" s="29"/>
      <c r="N892" s="29"/>
      <c r="O892" s="29"/>
      <c r="P892" s="29"/>
      <c r="Q892" s="29"/>
      <c r="R892" s="29"/>
    </row>
    <row r="893" spans="13:18" ht="8.25" customHeight="1">
      <c r="M893" s="29"/>
      <c r="N893" s="29"/>
      <c r="O893" s="29"/>
      <c r="P893" s="29"/>
      <c r="Q893" s="29"/>
      <c r="R893" s="29"/>
    </row>
    <row r="894" spans="13:18" ht="8.25" customHeight="1">
      <c r="M894" s="29"/>
      <c r="N894" s="29"/>
      <c r="O894" s="29"/>
      <c r="P894" s="29"/>
      <c r="Q894" s="29"/>
      <c r="R894" s="29"/>
    </row>
    <row r="895" spans="13:18" ht="8.25" customHeight="1">
      <c r="M895" s="29"/>
      <c r="N895" s="29"/>
      <c r="O895" s="29"/>
      <c r="P895" s="29"/>
      <c r="Q895" s="29"/>
      <c r="R895" s="29"/>
    </row>
    <row r="896" spans="13:18" ht="8.25" customHeight="1">
      <c r="M896" s="29"/>
      <c r="N896" s="29"/>
      <c r="O896" s="29"/>
      <c r="P896" s="29"/>
      <c r="Q896" s="29"/>
      <c r="R896" s="29"/>
    </row>
    <row r="897" spans="13:18" ht="8.25" customHeight="1">
      <c r="M897" s="29"/>
      <c r="N897" s="29"/>
      <c r="O897" s="29"/>
      <c r="P897" s="29"/>
      <c r="Q897" s="29"/>
      <c r="R897" s="29"/>
    </row>
    <row r="898" spans="13:18" ht="8.25" customHeight="1">
      <c r="M898" s="29"/>
      <c r="N898" s="29"/>
      <c r="O898" s="29"/>
      <c r="P898" s="29"/>
      <c r="Q898" s="29"/>
      <c r="R898" s="29"/>
    </row>
    <row r="899" spans="13:18" ht="8.25" customHeight="1">
      <c r="M899" s="29"/>
      <c r="N899" s="29"/>
      <c r="O899" s="29"/>
      <c r="P899" s="29"/>
      <c r="Q899" s="29"/>
      <c r="R899" s="29"/>
    </row>
    <row r="900" spans="13:18" ht="8.25" customHeight="1">
      <c r="M900" s="29"/>
      <c r="N900" s="29"/>
      <c r="O900" s="29"/>
      <c r="P900" s="29"/>
      <c r="Q900" s="29"/>
      <c r="R900" s="29"/>
    </row>
    <row r="901" spans="13:18" ht="8.25" customHeight="1">
      <c r="M901" s="29"/>
      <c r="N901" s="29"/>
      <c r="O901" s="29"/>
      <c r="P901" s="29"/>
      <c r="Q901" s="29"/>
      <c r="R901" s="29"/>
    </row>
    <row r="902" spans="13:18" ht="8.25" customHeight="1">
      <c r="M902" s="29"/>
      <c r="N902" s="29"/>
      <c r="O902" s="29"/>
      <c r="P902" s="29"/>
      <c r="Q902" s="29"/>
      <c r="R902" s="29"/>
    </row>
    <row r="903" spans="13:18" ht="8.25" customHeight="1">
      <c r="M903" s="29"/>
      <c r="N903" s="29"/>
      <c r="O903" s="29"/>
      <c r="P903" s="29"/>
      <c r="Q903" s="29"/>
      <c r="R903" s="29"/>
    </row>
    <row r="904" spans="13:18" ht="8.25" customHeight="1">
      <c r="M904" s="29"/>
      <c r="N904" s="29"/>
      <c r="O904" s="29"/>
      <c r="P904" s="29"/>
      <c r="Q904" s="29"/>
      <c r="R904" s="29"/>
    </row>
    <row r="905" spans="13:18" ht="8.25" customHeight="1">
      <c r="M905" s="29"/>
      <c r="N905" s="29"/>
      <c r="O905" s="29"/>
      <c r="P905" s="29"/>
      <c r="Q905" s="29"/>
      <c r="R905" s="29"/>
    </row>
    <row r="906" spans="13:18" ht="8.25" customHeight="1">
      <c r="M906" s="29"/>
      <c r="N906" s="29"/>
      <c r="O906" s="29"/>
      <c r="P906" s="29"/>
      <c r="Q906" s="29"/>
      <c r="R906" s="29"/>
    </row>
    <row r="907" spans="13:18" ht="8.25" customHeight="1">
      <c r="M907" s="29"/>
      <c r="N907" s="29"/>
      <c r="O907" s="29"/>
      <c r="P907" s="29"/>
      <c r="Q907" s="29"/>
      <c r="R907" s="29"/>
    </row>
    <row r="908" spans="13:18" ht="8.25" customHeight="1">
      <c r="M908" s="29"/>
      <c r="N908" s="29"/>
      <c r="O908" s="29"/>
      <c r="P908" s="29"/>
      <c r="Q908" s="29"/>
      <c r="R908" s="29"/>
    </row>
    <row r="909" spans="13:18" ht="8.25" customHeight="1">
      <c r="M909" s="29"/>
      <c r="N909" s="29"/>
      <c r="O909" s="29"/>
      <c r="P909" s="29"/>
      <c r="Q909" s="29"/>
      <c r="R909" s="29"/>
    </row>
    <row r="910" spans="13:18" ht="8.25" customHeight="1">
      <c r="M910" s="29"/>
      <c r="N910" s="29"/>
      <c r="O910" s="29"/>
      <c r="P910" s="29"/>
      <c r="Q910" s="29"/>
      <c r="R910" s="29"/>
    </row>
    <row r="911" spans="13:18" ht="8.25" customHeight="1">
      <c r="M911" s="29"/>
      <c r="N911" s="29"/>
      <c r="O911" s="29"/>
      <c r="P911" s="29"/>
      <c r="Q911" s="29"/>
      <c r="R911" s="29"/>
    </row>
    <row r="912" spans="13:18" ht="8.25" customHeight="1">
      <c r="M912" s="29"/>
      <c r="N912" s="29"/>
      <c r="O912" s="29"/>
      <c r="P912" s="29"/>
      <c r="Q912" s="29"/>
      <c r="R912" s="29"/>
    </row>
    <row r="913" spans="13:18" ht="8.25" customHeight="1">
      <c r="M913" s="29"/>
      <c r="N913" s="29"/>
      <c r="O913" s="29"/>
      <c r="P913" s="29"/>
      <c r="Q913" s="29"/>
      <c r="R913" s="29"/>
    </row>
    <row r="914" spans="13:18" ht="8.25" customHeight="1">
      <c r="M914" s="29"/>
      <c r="N914" s="29"/>
      <c r="O914" s="29"/>
      <c r="P914" s="29"/>
      <c r="Q914" s="29"/>
      <c r="R914" s="29"/>
    </row>
    <row r="915" spans="13:18" ht="8.25" customHeight="1">
      <c r="M915" s="29"/>
      <c r="N915" s="29"/>
      <c r="O915" s="29"/>
      <c r="P915" s="29"/>
      <c r="Q915" s="29"/>
      <c r="R915" s="29"/>
    </row>
    <row r="916" spans="13:18" ht="8.25" customHeight="1">
      <c r="M916" s="29"/>
      <c r="N916" s="29"/>
      <c r="O916" s="29"/>
      <c r="P916" s="29"/>
      <c r="Q916" s="29"/>
      <c r="R916" s="29"/>
    </row>
    <row r="917" spans="13:18" ht="8.25" customHeight="1">
      <c r="M917" s="29"/>
      <c r="N917" s="29"/>
      <c r="O917" s="29"/>
      <c r="P917" s="29"/>
      <c r="Q917" s="29"/>
      <c r="R917" s="29"/>
    </row>
    <row r="918" spans="13:18" ht="8.25" customHeight="1">
      <c r="M918" s="29"/>
      <c r="N918" s="29"/>
      <c r="O918" s="29"/>
      <c r="P918" s="29"/>
      <c r="Q918" s="29"/>
      <c r="R918" s="29"/>
    </row>
    <row r="919" spans="13:18" ht="8.25" customHeight="1">
      <c r="M919" s="29"/>
      <c r="N919" s="29"/>
      <c r="O919" s="29"/>
      <c r="P919" s="29"/>
      <c r="Q919" s="29"/>
      <c r="R919" s="29"/>
    </row>
    <row r="920" spans="13:18" ht="8.25" customHeight="1">
      <c r="M920" s="29"/>
      <c r="N920" s="29"/>
      <c r="O920" s="29"/>
      <c r="P920" s="29"/>
      <c r="Q920" s="29"/>
      <c r="R920" s="29"/>
    </row>
    <row r="921" spans="13:18" ht="8.25" customHeight="1">
      <c r="M921" s="29"/>
      <c r="N921" s="29"/>
      <c r="O921" s="29"/>
      <c r="P921" s="29"/>
      <c r="Q921" s="29"/>
      <c r="R921" s="29"/>
    </row>
    <row r="922" spans="13:18" ht="8.25" customHeight="1">
      <c r="M922" s="29"/>
      <c r="N922" s="29"/>
      <c r="O922" s="29"/>
      <c r="P922" s="29"/>
      <c r="Q922" s="29"/>
      <c r="R922" s="29"/>
    </row>
    <row r="923" spans="13:18" ht="8.25" customHeight="1">
      <c r="M923" s="29"/>
      <c r="N923" s="29"/>
      <c r="O923" s="29"/>
      <c r="P923" s="29"/>
      <c r="Q923" s="29"/>
      <c r="R923" s="29"/>
    </row>
    <row r="924" spans="13:18" ht="8.25" customHeight="1">
      <c r="M924" s="29"/>
      <c r="N924" s="29"/>
      <c r="O924" s="29"/>
      <c r="P924" s="29"/>
      <c r="Q924" s="29"/>
      <c r="R924" s="29"/>
    </row>
    <row r="925" spans="13:18" ht="8.25" customHeight="1">
      <c r="M925" s="29"/>
      <c r="N925" s="29"/>
      <c r="O925" s="29"/>
      <c r="P925" s="29"/>
      <c r="Q925" s="29"/>
      <c r="R925" s="29"/>
    </row>
    <row r="926" spans="13:18" ht="8.25" customHeight="1">
      <c r="M926" s="29"/>
      <c r="N926" s="29"/>
      <c r="O926" s="29"/>
      <c r="P926" s="29"/>
      <c r="Q926" s="29"/>
      <c r="R926" s="29"/>
    </row>
    <row r="927" spans="13:18" ht="8.25" customHeight="1">
      <c r="M927" s="29"/>
      <c r="N927" s="29"/>
      <c r="O927" s="29"/>
      <c r="P927" s="29"/>
      <c r="Q927" s="29"/>
      <c r="R927" s="29"/>
    </row>
    <row r="928" spans="13:18" ht="8.25" customHeight="1">
      <c r="M928" s="29"/>
      <c r="N928" s="29"/>
      <c r="O928" s="29"/>
      <c r="P928" s="29"/>
      <c r="Q928" s="29"/>
      <c r="R928" s="29"/>
    </row>
    <row r="929" spans="13:18" ht="8.25" customHeight="1">
      <c r="M929" s="29"/>
      <c r="N929" s="29"/>
      <c r="O929" s="29"/>
      <c r="P929" s="29"/>
      <c r="Q929" s="29"/>
      <c r="R929" s="29"/>
    </row>
    <row r="930" spans="13:18" ht="8.25" customHeight="1">
      <c r="M930" s="29"/>
      <c r="N930" s="29"/>
      <c r="O930" s="29"/>
      <c r="P930" s="29"/>
      <c r="Q930" s="29"/>
      <c r="R930" s="29"/>
    </row>
    <row r="931" spans="13:18" ht="8.25" customHeight="1">
      <c r="M931" s="29"/>
      <c r="N931" s="29"/>
      <c r="O931" s="29"/>
      <c r="P931" s="29"/>
      <c r="Q931" s="29"/>
      <c r="R931" s="29"/>
    </row>
    <row r="932" spans="13:18" ht="8.25" customHeight="1">
      <c r="M932" s="29"/>
      <c r="N932" s="29"/>
      <c r="O932" s="29"/>
      <c r="P932" s="29"/>
      <c r="Q932" s="29"/>
      <c r="R932" s="29"/>
    </row>
    <row r="933" spans="13:18" ht="8.25" customHeight="1">
      <c r="M933" s="29"/>
      <c r="N933" s="29"/>
      <c r="O933" s="29"/>
      <c r="P933" s="29"/>
      <c r="Q933" s="29"/>
      <c r="R933" s="29"/>
    </row>
    <row r="934" spans="13:18" ht="8.25" customHeight="1">
      <c r="M934" s="29"/>
      <c r="N934" s="29"/>
      <c r="O934" s="29"/>
      <c r="P934" s="29"/>
      <c r="Q934" s="29"/>
      <c r="R934" s="29"/>
    </row>
    <row r="935" spans="13:18" ht="8.25" customHeight="1">
      <c r="M935" s="29"/>
      <c r="N935" s="29"/>
      <c r="O935" s="29"/>
      <c r="P935" s="29"/>
      <c r="Q935" s="29"/>
      <c r="R935" s="29"/>
    </row>
    <row r="936" spans="13:18" ht="8.25" customHeight="1">
      <c r="M936" s="29"/>
      <c r="N936" s="29"/>
      <c r="O936" s="29"/>
      <c r="P936" s="29"/>
      <c r="Q936" s="29"/>
      <c r="R936" s="29"/>
    </row>
    <row r="937" spans="13:18" ht="8.25" customHeight="1">
      <c r="M937" s="29"/>
      <c r="N937" s="29"/>
      <c r="O937" s="29"/>
      <c r="P937" s="29"/>
      <c r="Q937" s="29"/>
      <c r="R937" s="29"/>
    </row>
    <row r="938" spans="13:18" ht="8.25" customHeight="1">
      <c r="M938" s="29"/>
      <c r="N938" s="29"/>
      <c r="O938" s="29"/>
      <c r="P938" s="29"/>
      <c r="Q938" s="29"/>
      <c r="R938" s="29"/>
    </row>
    <row r="939" spans="13:18" ht="8.25" customHeight="1">
      <c r="M939" s="29"/>
      <c r="N939" s="29"/>
      <c r="O939" s="29"/>
      <c r="P939" s="29"/>
      <c r="Q939" s="29"/>
      <c r="R939" s="29"/>
    </row>
    <row r="940" spans="13:18" ht="8.25" customHeight="1">
      <c r="M940" s="29"/>
      <c r="N940" s="29"/>
      <c r="O940" s="29"/>
      <c r="P940" s="29"/>
      <c r="Q940" s="29"/>
      <c r="R940" s="29"/>
    </row>
    <row r="941" spans="13:18" ht="8.25" customHeight="1">
      <c r="M941" s="29"/>
      <c r="N941" s="29"/>
      <c r="O941" s="29"/>
      <c r="P941" s="29"/>
      <c r="Q941" s="29"/>
      <c r="R941" s="29"/>
    </row>
    <row r="942" spans="13:18" ht="8.25" customHeight="1">
      <c r="M942" s="29"/>
      <c r="N942" s="29"/>
      <c r="O942" s="29"/>
      <c r="P942" s="29"/>
      <c r="Q942" s="29"/>
      <c r="R942" s="29"/>
    </row>
    <row r="943" spans="13:18" ht="8.25" customHeight="1">
      <c r="M943" s="29"/>
      <c r="N943" s="29"/>
      <c r="O943" s="29"/>
      <c r="P943" s="29"/>
      <c r="Q943" s="29"/>
      <c r="R943" s="29"/>
    </row>
    <row r="944" spans="13:18" ht="8.25" customHeight="1">
      <c r="M944" s="29"/>
      <c r="N944" s="29"/>
      <c r="O944" s="29"/>
      <c r="P944" s="29"/>
      <c r="Q944" s="29"/>
      <c r="R944" s="29"/>
    </row>
    <row r="945" spans="13:18" ht="8.25" customHeight="1">
      <c r="M945" s="29"/>
      <c r="N945" s="29"/>
      <c r="O945" s="29"/>
      <c r="P945" s="29"/>
      <c r="Q945" s="29"/>
      <c r="R945" s="29"/>
    </row>
    <row r="946" spans="13:18" ht="8.25" customHeight="1">
      <c r="M946" s="29"/>
      <c r="N946" s="29"/>
      <c r="O946" s="29"/>
      <c r="P946" s="29"/>
      <c r="Q946" s="29"/>
      <c r="R946" s="29"/>
    </row>
    <row r="947" spans="13:18" ht="8.25" customHeight="1">
      <c r="M947" s="29"/>
      <c r="N947" s="29"/>
      <c r="O947" s="29"/>
      <c r="P947" s="29"/>
      <c r="Q947" s="29"/>
      <c r="R947" s="29"/>
    </row>
    <row r="948" spans="13:18" ht="8.25" customHeight="1">
      <c r="M948" s="29"/>
      <c r="N948" s="29"/>
      <c r="O948" s="29"/>
      <c r="P948" s="29"/>
      <c r="Q948" s="29"/>
      <c r="R948" s="29"/>
    </row>
    <row r="949" spans="13:18" ht="8.25" customHeight="1">
      <c r="M949" s="29"/>
      <c r="N949" s="29"/>
      <c r="O949" s="29"/>
      <c r="P949" s="29"/>
      <c r="Q949" s="29"/>
      <c r="R949" s="29"/>
    </row>
    <row r="950" spans="13:18" ht="8.25" customHeight="1">
      <c r="M950" s="29"/>
      <c r="N950" s="29"/>
      <c r="O950" s="29"/>
      <c r="P950" s="29"/>
      <c r="Q950" s="29"/>
      <c r="R950" s="29"/>
    </row>
    <row r="951" spans="13:18" ht="8.25" customHeight="1">
      <c r="M951" s="29"/>
      <c r="N951" s="29"/>
      <c r="O951" s="29"/>
      <c r="P951" s="29"/>
      <c r="Q951" s="29"/>
      <c r="R951" s="29"/>
    </row>
    <row r="952" spans="13:18" ht="8.25" customHeight="1">
      <c r="M952" s="29"/>
      <c r="N952" s="29"/>
      <c r="O952" s="29"/>
      <c r="P952" s="29"/>
      <c r="Q952" s="29"/>
      <c r="R952" s="29"/>
    </row>
    <row r="953" spans="13:18" ht="8.25" customHeight="1">
      <c r="M953" s="29"/>
      <c r="N953" s="29"/>
      <c r="O953" s="29"/>
      <c r="P953" s="29"/>
      <c r="Q953" s="29"/>
      <c r="R953" s="29"/>
    </row>
    <row r="954" spans="13:18" ht="8.25" customHeight="1">
      <c r="M954" s="29"/>
      <c r="N954" s="29"/>
      <c r="O954" s="29"/>
      <c r="P954" s="29"/>
      <c r="Q954" s="29"/>
      <c r="R954" s="29"/>
    </row>
    <row r="955" spans="13:18" ht="8.25" customHeight="1">
      <c r="M955" s="29"/>
      <c r="N955" s="29"/>
      <c r="O955" s="29"/>
      <c r="P955" s="29"/>
      <c r="Q955" s="29"/>
      <c r="R955" s="29"/>
    </row>
    <row r="956" spans="13:18" ht="8.25" customHeight="1">
      <c r="M956" s="29"/>
      <c r="N956" s="29"/>
      <c r="O956" s="29"/>
      <c r="P956" s="29"/>
      <c r="Q956" s="29"/>
      <c r="R956" s="29"/>
    </row>
    <row r="957" spans="13:18" ht="8.25" customHeight="1">
      <c r="M957" s="29"/>
      <c r="N957" s="29"/>
      <c r="O957" s="29"/>
      <c r="P957" s="29"/>
      <c r="Q957" s="29"/>
      <c r="R957" s="29"/>
    </row>
    <row r="958" spans="13:18" ht="8.25" customHeight="1">
      <c r="M958" s="29"/>
      <c r="N958" s="29"/>
      <c r="O958" s="29"/>
      <c r="P958" s="29"/>
      <c r="Q958" s="29"/>
      <c r="R958" s="29"/>
    </row>
    <row r="959" spans="13:18" ht="8.25" customHeight="1">
      <c r="M959" s="29"/>
      <c r="N959" s="29"/>
      <c r="O959" s="29"/>
      <c r="P959" s="29"/>
      <c r="Q959" s="29"/>
      <c r="R959" s="29"/>
    </row>
    <row r="960" spans="13:18" ht="8.25" customHeight="1">
      <c r="M960" s="29"/>
      <c r="N960" s="29"/>
      <c r="O960" s="29"/>
      <c r="P960" s="29"/>
      <c r="Q960" s="29"/>
      <c r="R960" s="29"/>
    </row>
    <row r="961" spans="13:18" ht="8.25" customHeight="1">
      <c r="M961" s="29"/>
      <c r="N961" s="29"/>
      <c r="O961" s="29"/>
      <c r="P961" s="29"/>
      <c r="Q961" s="29"/>
      <c r="R961" s="29"/>
    </row>
    <row r="962" spans="13:18" ht="8.25" customHeight="1">
      <c r="M962" s="29"/>
      <c r="N962" s="29"/>
      <c r="O962" s="29"/>
      <c r="P962" s="29"/>
      <c r="Q962" s="29"/>
      <c r="R962" s="29"/>
    </row>
    <row r="963" spans="13:18" ht="8.25" customHeight="1">
      <c r="M963" s="29"/>
      <c r="N963" s="29"/>
      <c r="O963" s="29"/>
      <c r="P963" s="29"/>
      <c r="Q963" s="29"/>
      <c r="R963" s="29"/>
    </row>
    <row r="964" spans="13:18" ht="8.25" customHeight="1">
      <c r="M964" s="29"/>
      <c r="N964" s="29"/>
      <c r="O964" s="29"/>
      <c r="P964" s="29"/>
      <c r="Q964" s="29"/>
      <c r="R964" s="29"/>
    </row>
    <row r="965" spans="13:18" ht="8.25" customHeight="1">
      <c r="M965" s="29"/>
      <c r="N965" s="29"/>
      <c r="O965" s="29"/>
      <c r="P965" s="29"/>
      <c r="Q965" s="29"/>
      <c r="R965" s="29"/>
    </row>
    <row r="966" spans="13:18" ht="8.25" customHeight="1">
      <c r="M966" s="29"/>
      <c r="N966" s="29"/>
      <c r="O966" s="29"/>
      <c r="P966" s="29"/>
      <c r="Q966" s="29"/>
      <c r="R966" s="29"/>
    </row>
    <row r="967" spans="13:18" ht="8.25" customHeight="1">
      <c r="M967" s="29"/>
      <c r="N967" s="29"/>
      <c r="O967" s="29"/>
      <c r="P967" s="29"/>
      <c r="Q967" s="29"/>
      <c r="R967" s="29"/>
    </row>
    <row r="968" spans="13:18" ht="8.25" customHeight="1">
      <c r="M968" s="29"/>
      <c r="N968" s="29"/>
      <c r="O968" s="29"/>
      <c r="P968" s="29"/>
      <c r="Q968" s="29"/>
      <c r="R968" s="29"/>
    </row>
    <row r="969" spans="13:18" ht="8.25" customHeight="1">
      <c r="M969" s="29"/>
      <c r="N969" s="29"/>
      <c r="O969" s="29"/>
      <c r="P969" s="29"/>
      <c r="Q969" s="29"/>
      <c r="R969" s="29"/>
    </row>
    <row r="970" spans="13:18" ht="8.25" customHeight="1">
      <c r="M970" s="29"/>
      <c r="N970" s="29"/>
      <c r="O970" s="29"/>
      <c r="P970" s="29"/>
      <c r="Q970" s="29"/>
      <c r="R970" s="29"/>
    </row>
    <row r="971" spans="13:18" ht="8.25" customHeight="1">
      <c r="M971" s="29"/>
      <c r="N971" s="29"/>
      <c r="O971" s="29"/>
      <c r="P971" s="29"/>
      <c r="Q971" s="29"/>
      <c r="R971" s="29"/>
    </row>
    <row r="972" spans="13:18" ht="8.25" customHeight="1">
      <c r="M972" s="29"/>
      <c r="N972" s="29"/>
      <c r="O972" s="29"/>
      <c r="P972" s="29"/>
      <c r="Q972" s="29"/>
      <c r="R972" s="29"/>
    </row>
    <row r="973" spans="13:18" ht="8.25" customHeight="1">
      <c r="M973" s="29"/>
      <c r="N973" s="29"/>
      <c r="O973" s="29"/>
      <c r="P973" s="29"/>
      <c r="Q973" s="29"/>
      <c r="R973" s="29"/>
    </row>
    <row r="974" spans="13:18" ht="8.25" customHeight="1">
      <c r="M974" s="29"/>
      <c r="N974" s="29"/>
      <c r="O974" s="29"/>
      <c r="P974" s="29"/>
      <c r="Q974" s="29"/>
      <c r="R974" s="29"/>
    </row>
    <row r="975" spans="13:18" ht="8.25" customHeight="1">
      <c r="M975" s="29"/>
      <c r="N975" s="29"/>
      <c r="O975" s="29"/>
      <c r="P975" s="29"/>
      <c r="Q975" s="29"/>
      <c r="R975" s="29"/>
    </row>
    <row r="976" spans="13:18" ht="8.25" customHeight="1">
      <c r="M976" s="29"/>
      <c r="N976" s="29"/>
      <c r="O976" s="29"/>
      <c r="P976" s="29"/>
      <c r="Q976" s="29"/>
      <c r="R976" s="29"/>
    </row>
    <row r="977" spans="13:18" ht="8.25" customHeight="1">
      <c r="M977" s="29"/>
      <c r="N977" s="29"/>
      <c r="O977" s="29"/>
      <c r="P977" s="29"/>
      <c r="Q977" s="29"/>
      <c r="R977" s="29"/>
    </row>
    <row r="978" spans="13:18" ht="8.25" customHeight="1">
      <c r="M978" s="29"/>
      <c r="N978" s="29"/>
      <c r="O978" s="29"/>
      <c r="P978" s="29"/>
      <c r="Q978" s="29"/>
      <c r="R978" s="29"/>
    </row>
    <row r="979" spans="13:18" ht="8.25" customHeight="1">
      <c r="M979" s="29"/>
      <c r="N979" s="29"/>
      <c r="O979" s="29"/>
      <c r="P979" s="29"/>
      <c r="Q979" s="29"/>
      <c r="R979" s="29"/>
    </row>
    <row r="980" spans="13:18" ht="8.25" customHeight="1">
      <c r="M980" s="29"/>
      <c r="N980" s="29"/>
      <c r="O980" s="29"/>
      <c r="P980" s="29"/>
      <c r="Q980" s="29"/>
      <c r="R980" s="29"/>
    </row>
    <row r="981" spans="13:18" ht="8.25" customHeight="1">
      <c r="M981" s="29"/>
      <c r="N981" s="29"/>
      <c r="O981" s="29"/>
      <c r="P981" s="29"/>
      <c r="Q981" s="29"/>
      <c r="R981" s="29"/>
    </row>
    <row r="982" spans="13:18" ht="8.25" customHeight="1">
      <c r="M982" s="29"/>
      <c r="N982" s="29"/>
      <c r="O982" s="29"/>
      <c r="P982" s="29"/>
      <c r="Q982" s="29"/>
      <c r="R982" s="29"/>
    </row>
    <row r="983" spans="13:18" ht="8.25" customHeight="1">
      <c r="M983" s="29"/>
      <c r="N983" s="29"/>
      <c r="O983" s="29"/>
      <c r="P983" s="29"/>
      <c r="Q983" s="29"/>
      <c r="R983" s="29"/>
    </row>
    <row r="984" ht="8.25" customHeight="1"/>
    <row r="985" ht="8.25" customHeight="1"/>
    <row r="986" ht="8.25" customHeight="1"/>
    <row r="987" ht="8.25" customHeight="1"/>
    <row r="988" ht="8.25" customHeight="1"/>
    <row r="989" ht="8.25" customHeight="1"/>
    <row r="990" ht="8.25" customHeight="1"/>
    <row r="991" ht="8.25" customHeight="1"/>
    <row r="992" ht="8.25" customHeight="1"/>
    <row r="993" ht="8.25" customHeight="1"/>
    <row r="994" ht="8.25" customHeight="1"/>
    <row r="995" ht="8.25" customHeight="1"/>
    <row r="996" ht="8.25" customHeight="1"/>
    <row r="997" ht="8.25" customHeight="1"/>
    <row r="998" ht="8.25" customHeight="1"/>
    <row r="999" ht="8.25" customHeight="1"/>
    <row r="1000" ht="8.25" customHeight="1"/>
    <row r="1001" ht="8.25" customHeight="1"/>
    <row r="1002" ht="8.25" customHeight="1"/>
    <row r="1003" ht="8.25" customHeight="1"/>
    <row r="1004" ht="8.25" customHeight="1"/>
    <row r="1005" ht="8.25" customHeight="1"/>
    <row r="1006" ht="8.25" customHeight="1"/>
    <row r="1007" ht="8.25" customHeight="1"/>
    <row r="1008" ht="8.25" customHeight="1"/>
    <row r="1009" ht="8.25" customHeight="1"/>
    <row r="1010" ht="8.25" customHeight="1"/>
    <row r="1011" ht="8.25" customHeight="1"/>
    <row r="1012" ht="8.25" customHeight="1"/>
    <row r="1013" ht="8.25" customHeight="1"/>
    <row r="1014" ht="8.25" customHeight="1"/>
    <row r="1015" ht="8.25" customHeight="1"/>
    <row r="1016" ht="8.25" customHeight="1"/>
    <row r="1017" ht="8.25" customHeight="1"/>
    <row r="1018" ht="8.25" customHeight="1"/>
    <row r="1019" ht="8.25" customHeight="1"/>
    <row r="1020" ht="8.25" customHeight="1"/>
    <row r="1021" ht="8.25" customHeight="1"/>
    <row r="1022" ht="8.25" customHeight="1"/>
    <row r="1023" ht="8.25" customHeight="1"/>
    <row r="1024" ht="8.25" customHeight="1"/>
    <row r="1025" ht="8.25" customHeight="1"/>
    <row r="1026" ht="8.25" customHeight="1"/>
    <row r="1027" ht="8.25" customHeight="1"/>
    <row r="1028" ht="8.25" customHeight="1"/>
    <row r="1029" ht="8.25" customHeight="1"/>
    <row r="1030" ht="8.25" customHeight="1"/>
    <row r="1031" ht="8.25" customHeight="1"/>
    <row r="1032" ht="8.25" customHeight="1"/>
    <row r="1033" ht="8.25" customHeight="1"/>
    <row r="1034" ht="8.25" customHeight="1"/>
    <row r="1035" ht="8.25" customHeight="1"/>
    <row r="1036" ht="8.25" customHeight="1"/>
    <row r="1037" ht="8.25" customHeight="1"/>
    <row r="1038" ht="8.25" customHeight="1"/>
    <row r="1039" ht="8.25" customHeight="1"/>
    <row r="1040" ht="8.25" customHeight="1"/>
    <row r="1041" ht="8.25" customHeight="1"/>
    <row r="1042" ht="8.25" customHeight="1"/>
    <row r="1043" ht="8.25" customHeight="1"/>
    <row r="1044" ht="8.25" customHeight="1"/>
    <row r="1045" ht="8.25" customHeight="1"/>
    <row r="1046" ht="8.25" customHeight="1"/>
    <row r="1047" ht="8.25" customHeight="1"/>
    <row r="1048" ht="8.25" customHeight="1"/>
    <row r="1049" ht="8.25" customHeight="1"/>
    <row r="1050" ht="8.25" customHeight="1"/>
    <row r="1051" ht="8.25" customHeight="1"/>
    <row r="1052" ht="8.25" customHeight="1"/>
    <row r="1053" ht="8.25" customHeight="1"/>
    <row r="1054" ht="8.25" customHeight="1"/>
    <row r="1055" ht="8.25" customHeight="1"/>
    <row r="1056" ht="8.25" customHeight="1"/>
    <row r="1057" ht="8.25" customHeight="1"/>
    <row r="1058" ht="8.25" customHeight="1"/>
    <row r="1059" ht="8.25" customHeight="1"/>
    <row r="1060" ht="8.25" customHeight="1"/>
    <row r="1061" ht="8.25" customHeight="1"/>
    <row r="1062" ht="8.25" customHeight="1"/>
    <row r="1063" ht="8.25" customHeight="1"/>
    <row r="1064" ht="8.25" customHeight="1"/>
    <row r="1065" ht="8.25" customHeight="1"/>
    <row r="1066" ht="8.25" customHeight="1"/>
    <row r="1067" ht="8.25" customHeight="1"/>
    <row r="1068" ht="8.25" customHeight="1"/>
    <row r="1069" ht="8.25" customHeight="1"/>
    <row r="1070" ht="8.25" customHeight="1"/>
    <row r="1071" ht="8.25" customHeight="1"/>
    <row r="1072" ht="8.25" customHeight="1"/>
    <row r="1073" ht="8.25" customHeight="1"/>
    <row r="1074" ht="8.25" customHeight="1"/>
    <row r="1075" ht="8.25" customHeight="1"/>
    <row r="1076" ht="8.25" customHeight="1"/>
    <row r="1077" ht="8.25" customHeight="1"/>
    <row r="1078" ht="8.25" customHeight="1"/>
    <row r="1079" ht="8.25" customHeight="1"/>
    <row r="1080" ht="8.25" customHeight="1"/>
    <row r="1081" ht="8.25" customHeight="1"/>
    <row r="1082" ht="8.25" customHeight="1"/>
    <row r="1083" ht="8.25" customHeight="1"/>
    <row r="1084" ht="8.25" customHeight="1"/>
    <row r="1085" ht="8.25" customHeight="1"/>
    <row r="1086" ht="8.25" customHeight="1"/>
    <row r="1087" ht="8.25" customHeight="1"/>
    <row r="1088" ht="8.25" customHeight="1"/>
    <row r="1089" ht="8.25" customHeight="1"/>
    <row r="1090" ht="8.25" customHeight="1"/>
    <row r="1091" ht="8.25" customHeight="1"/>
    <row r="1092" ht="8.25" customHeight="1"/>
    <row r="1093" ht="8.25" customHeight="1"/>
    <row r="1094" ht="8.25" customHeight="1"/>
    <row r="1095" ht="8.25" customHeight="1"/>
    <row r="1096" ht="8.25" customHeight="1"/>
    <row r="1097" ht="8.25" customHeight="1"/>
    <row r="1098" ht="8.25" customHeight="1"/>
    <row r="1099" ht="8.25" customHeight="1"/>
    <row r="1100" ht="8.25" customHeight="1"/>
    <row r="1101" ht="8.25" customHeight="1"/>
    <row r="1102" ht="8.25" customHeight="1"/>
    <row r="1103" ht="8.25" customHeight="1"/>
    <row r="1104" ht="8.25" customHeight="1"/>
    <row r="1105" ht="8.25" customHeight="1"/>
    <row r="1106" ht="8.25" customHeight="1"/>
    <row r="1107" ht="8.25" customHeight="1"/>
    <row r="1108" ht="8.25" customHeight="1"/>
    <row r="1109" ht="8.25" customHeight="1"/>
    <row r="1110" ht="8.25" customHeight="1"/>
    <row r="1111" ht="8.25" customHeight="1"/>
    <row r="1112" ht="8.25" customHeight="1"/>
    <row r="1113" ht="8.25" customHeight="1"/>
    <row r="1114" ht="8.25" customHeight="1"/>
    <row r="1115" ht="8.25" customHeight="1"/>
    <row r="1116" ht="8.25" customHeight="1"/>
    <row r="1117" ht="8.25" customHeight="1"/>
    <row r="1118" ht="8.25" customHeight="1"/>
    <row r="1119" ht="8.25" customHeight="1"/>
    <row r="1120" ht="8.25" customHeight="1"/>
    <row r="1121" ht="8.25" customHeight="1"/>
    <row r="1122" ht="8.25" customHeight="1"/>
    <row r="1123" ht="8.25" customHeight="1"/>
    <row r="1124" ht="8.25" customHeight="1"/>
    <row r="1125" ht="8.25" customHeight="1"/>
    <row r="1126" ht="8.25" customHeight="1"/>
    <row r="1127" ht="8.25" customHeight="1"/>
    <row r="1128" ht="8.25" customHeight="1"/>
    <row r="1129" ht="8.25" customHeight="1"/>
    <row r="1130" ht="8.25" customHeight="1"/>
    <row r="1131" ht="8.25" customHeight="1"/>
    <row r="1132" ht="8.25" customHeight="1"/>
    <row r="1133" ht="8.25" customHeight="1"/>
    <row r="1134" ht="8.25" customHeight="1"/>
    <row r="1135" ht="8.25" customHeight="1"/>
    <row r="1136" ht="8.25" customHeight="1"/>
    <row r="1137" ht="8.25" customHeight="1"/>
    <row r="1138" ht="8.25" customHeight="1"/>
    <row r="1139" ht="8.25" customHeight="1"/>
    <row r="1140" ht="8.25" customHeight="1"/>
    <row r="1141" ht="8.25" customHeight="1"/>
    <row r="1142" ht="8.25" customHeight="1"/>
    <row r="1143" ht="8.25" customHeight="1"/>
    <row r="1144" ht="8.25" customHeight="1"/>
    <row r="1145" ht="8.25" customHeight="1"/>
    <row r="1146" ht="8.25" customHeight="1"/>
    <row r="1147" ht="8.25" customHeight="1"/>
  </sheetData>
  <sheetProtection/>
  <autoFilter ref="A4:AE98"/>
  <printOptions/>
  <pageMargins left="0" right="0" top="0.6692913385826772" bottom="0.3937007874015748" header="0" footer="0.5118110236220472"/>
  <pageSetup horizontalDpi="300" verticalDpi="300" orientation="landscape" paperSize="9" r:id="rId1"/>
  <headerFooter alignWithMargins="0">
    <oddHeader>&amp;CRANKING NACIONAL DAS RAÇAS PÔNEI
MELHOR CRIADOR - 2007
RAÇA PÔNEI BRASILEIRO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80"/>
  <sheetViews>
    <sheetView zoomScale="123" zoomScaleNormal="123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421875" style="30" customWidth="1"/>
    <col min="2" max="2" width="19.00390625" style="31" customWidth="1"/>
    <col min="3" max="3" width="3.140625" style="32" customWidth="1"/>
    <col min="4" max="4" width="4.8515625" style="36" customWidth="1"/>
    <col min="5" max="18" width="6.7109375" style="36" customWidth="1"/>
    <col min="19" max="31" width="6.140625" style="64" customWidth="1"/>
    <col min="32" max="32" width="6.00390625" style="64" customWidth="1"/>
    <col min="33" max="33" width="6.7109375" style="64" customWidth="1"/>
    <col min="34" max="34" width="6.140625" style="64" customWidth="1"/>
    <col min="35" max="36" width="6.28125" style="64" customWidth="1"/>
    <col min="37" max="37" width="6.140625" style="64" customWidth="1"/>
    <col min="38" max="38" width="6.28125" style="64" customWidth="1"/>
    <col min="39" max="39" width="7.57421875" style="64" customWidth="1"/>
    <col min="40" max="16384" width="9.140625" style="31" customWidth="1"/>
  </cols>
  <sheetData>
    <row r="1" spans="1:39" s="5" customFormat="1" ht="8.25">
      <c r="A1" s="1">
        <v>9999</v>
      </c>
      <c r="B1" s="54"/>
      <c r="C1" s="2" t="s">
        <v>4</v>
      </c>
      <c r="D1" s="3" t="s">
        <v>1</v>
      </c>
      <c r="E1" s="3" t="s">
        <v>0</v>
      </c>
      <c r="F1" s="3" t="s">
        <v>236</v>
      </c>
      <c r="G1" s="3" t="s">
        <v>201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  <c r="N1" s="3" t="s">
        <v>255</v>
      </c>
      <c r="O1" s="3" t="s">
        <v>178</v>
      </c>
      <c r="P1" s="3" t="s">
        <v>173</v>
      </c>
      <c r="Q1" s="3" t="s">
        <v>299</v>
      </c>
      <c r="R1" s="3" t="s">
        <v>269</v>
      </c>
      <c r="S1" s="2" t="s">
        <v>48</v>
      </c>
      <c r="T1" s="2" t="s">
        <v>276</v>
      </c>
      <c r="U1" s="2" t="s">
        <v>129</v>
      </c>
      <c r="V1" s="2" t="s">
        <v>131</v>
      </c>
      <c r="W1" s="2" t="s">
        <v>286</v>
      </c>
      <c r="X1" s="2" t="s">
        <v>135</v>
      </c>
      <c r="Y1" s="2" t="s">
        <v>114</v>
      </c>
      <c r="Z1" s="2"/>
      <c r="AA1" s="2"/>
      <c r="AB1" s="2"/>
      <c r="AC1" s="2"/>
      <c r="AD1" s="2"/>
      <c r="AE1" s="2"/>
      <c r="AF1" s="59"/>
      <c r="AG1" s="59"/>
      <c r="AH1" s="59"/>
      <c r="AI1" s="59"/>
      <c r="AJ1" s="59"/>
      <c r="AK1" s="59"/>
      <c r="AL1" s="59"/>
      <c r="AM1" s="60"/>
    </row>
    <row r="2" spans="1:39" s="5" customFormat="1" ht="8.25">
      <c r="A2" s="1">
        <v>9998</v>
      </c>
      <c r="B2" s="56" t="s">
        <v>30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  <c r="N2" s="8" t="s">
        <v>256</v>
      </c>
      <c r="O2" s="8" t="s">
        <v>260</v>
      </c>
      <c r="P2" s="8" t="s">
        <v>296</v>
      </c>
      <c r="Q2" s="8" t="s">
        <v>300</v>
      </c>
      <c r="R2" s="8" t="s">
        <v>268</v>
      </c>
      <c r="S2" s="8" t="s">
        <v>271</v>
      </c>
      <c r="T2" s="8" t="s">
        <v>277</v>
      </c>
      <c r="U2" s="8" t="s">
        <v>294</v>
      </c>
      <c r="V2" s="8" t="s">
        <v>294</v>
      </c>
      <c r="W2" s="8" t="s">
        <v>287</v>
      </c>
      <c r="X2" s="8" t="s">
        <v>307</v>
      </c>
      <c r="Y2" s="8" t="s">
        <v>305</v>
      </c>
      <c r="Z2" s="8"/>
      <c r="AA2" s="8"/>
      <c r="AB2" s="8"/>
      <c r="AC2" s="8"/>
      <c r="AD2" s="8"/>
      <c r="AE2" s="8"/>
      <c r="AF2" s="59"/>
      <c r="AG2" s="59"/>
      <c r="AH2" s="61"/>
      <c r="AI2" s="61"/>
      <c r="AJ2" s="61"/>
      <c r="AK2" s="61"/>
      <c r="AL2" s="61"/>
      <c r="AM2" s="60"/>
    </row>
    <row r="3" spans="1:39" s="13" customFormat="1" ht="8.25">
      <c r="A3" s="1">
        <v>9997</v>
      </c>
      <c r="B3" s="55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  <c r="N3" s="11">
        <v>0.38</v>
      </c>
      <c r="O3" s="11">
        <v>0.89</v>
      </c>
      <c r="P3" s="11">
        <v>0.25</v>
      </c>
      <c r="Q3" s="11">
        <v>0.6</v>
      </c>
      <c r="R3" s="11">
        <v>0.22</v>
      </c>
      <c r="S3" s="12">
        <v>0.2</v>
      </c>
      <c r="T3" s="40" t="s">
        <v>278</v>
      </c>
      <c r="U3" s="40" t="s">
        <v>293</v>
      </c>
      <c r="V3" s="40" t="s">
        <v>309</v>
      </c>
      <c r="W3" s="40" t="s">
        <v>288</v>
      </c>
      <c r="X3" s="40" t="s">
        <v>308</v>
      </c>
      <c r="Y3" s="40" t="s">
        <v>306</v>
      </c>
      <c r="Z3" s="40"/>
      <c r="AA3" s="40"/>
      <c r="AB3" s="40"/>
      <c r="AC3" s="40"/>
      <c r="AD3" s="40"/>
      <c r="AE3" s="40"/>
      <c r="AF3" s="59"/>
      <c r="AG3" s="59"/>
      <c r="AH3" s="61"/>
      <c r="AI3" s="61"/>
      <c r="AJ3" s="61"/>
      <c r="AK3" s="59"/>
      <c r="AL3" s="59"/>
      <c r="AM3" s="60"/>
    </row>
    <row r="4" spans="1:39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5"/>
      <c r="AF4" s="59"/>
      <c r="AG4" s="59"/>
      <c r="AH4" s="59"/>
      <c r="AI4" s="59"/>
      <c r="AJ4" s="59"/>
      <c r="AK4" s="59"/>
      <c r="AL4" s="59"/>
      <c r="AM4" s="59"/>
    </row>
    <row r="5" spans="1:39" s="24" customFormat="1" ht="8.25">
      <c r="A5" s="18">
        <f>SUM(0+D5)</f>
        <v>1765.3</v>
      </c>
      <c r="B5" s="19" t="s">
        <v>23</v>
      </c>
      <c r="C5" s="20" t="s">
        <v>24</v>
      </c>
      <c r="D5" s="21">
        <f>SUM(E5:AE5)</f>
        <v>1765.3</v>
      </c>
      <c r="E5" s="23"/>
      <c r="F5" s="23"/>
      <c r="G5" s="21"/>
      <c r="H5" s="21"/>
      <c r="I5" s="22">
        <f>380*0.96</f>
        <v>364.8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f>312*1.2</f>
        <v>374.4</v>
      </c>
      <c r="U5" s="21"/>
      <c r="V5" s="21">
        <f>296*0.91</f>
        <v>269.36</v>
      </c>
      <c r="W5" s="21">
        <f>230*1.75</f>
        <v>402.5</v>
      </c>
      <c r="X5" s="21"/>
      <c r="Y5" s="21">
        <f>328*1.08</f>
        <v>354.24</v>
      </c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</row>
    <row r="6" spans="1:39" s="24" customFormat="1" ht="8.25">
      <c r="A6" s="18">
        <f>SUM(0+D6)</f>
        <v>1295.3899999999999</v>
      </c>
      <c r="B6" s="19" t="s">
        <v>183</v>
      </c>
      <c r="C6" s="20" t="s">
        <v>7</v>
      </c>
      <c r="D6" s="21">
        <f>SUM(E6:AE6)</f>
        <v>1295.3899999999999</v>
      </c>
      <c r="E6" s="23">
        <f>201*2.07</f>
        <v>416.07</v>
      </c>
      <c r="F6" s="23"/>
      <c r="G6" s="22">
        <f>125*1.14</f>
        <v>142.5</v>
      </c>
      <c r="H6" s="22"/>
      <c r="I6" s="22">
        <f>25*0.96</f>
        <v>24</v>
      </c>
      <c r="J6" s="21">
        <f>167*1.1</f>
        <v>183.70000000000002</v>
      </c>
      <c r="K6" s="21"/>
      <c r="L6" s="21"/>
      <c r="M6" s="21">
        <v>185</v>
      </c>
      <c r="N6" s="21"/>
      <c r="O6" s="21"/>
      <c r="P6" s="21"/>
      <c r="Q6" s="21"/>
      <c r="R6" s="21"/>
      <c r="S6" s="21"/>
      <c r="T6" s="21"/>
      <c r="U6" s="21"/>
      <c r="V6" s="21">
        <f>7*0.91</f>
        <v>6.37</v>
      </c>
      <c r="W6" s="21">
        <f>193*1.75</f>
        <v>337.75</v>
      </c>
      <c r="X6" s="21"/>
      <c r="Y6" s="21"/>
      <c r="Z6" s="21"/>
      <c r="AA6" s="21"/>
      <c r="AB6" s="21"/>
      <c r="AC6" s="21"/>
      <c r="AD6" s="21"/>
      <c r="AE6" s="21"/>
      <c r="AF6" s="62"/>
      <c r="AG6" s="62"/>
      <c r="AH6" s="62"/>
      <c r="AI6" s="62"/>
      <c r="AJ6" s="62"/>
      <c r="AK6" s="62"/>
      <c r="AL6" s="62"/>
      <c r="AM6" s="62"/>
    </row>
    <row r="7" spans="1:39" ht="8.25">
      <c r="A7" s="18">
        <f>SUM(0+D7)</f>
        <v>945.66</v>
      </c>
      <c r="B7" s="19" t="s">
        <v>87</v>
      </c>
      <c r="C7" s="20" t="s">
        <v>7</v>
      </c>
      <c r="D7" s="21">
        <f>SUM(E7:AE7)</f>
        <v>945.66</v>
      </c>
      <c r="E7" s="23">
        <f>129*2.07</f>
        <v>267.03</v>
      </c>
      <c r="F7" s="23"/>
      <c r="G7" s="22">
        <f>157*1.14</f>
        <v>178.98</v>
      </c>
      <c r="H7" s="22"/>
      <c r="I7" s="22"/>
      <c r="J7" s="21">
        <f>99*1.1</f>
        <v>108.9</v>
      </c>
      <c r="K7" s="21"/>
      <c r="L7" s="21"/>
      <c r="M7" s="21">
        <v>137</v>
      </c>
      <c r="N7" s="21"/>
      <c r="O7" s="21"/>
      <c r="P7" s="21"/>
      <c r="Q7" s="21"/>
      <c r="R7" s="21"/>
      <c r="S7" s="21"/>
      <c r="T7" s="21"/>
      <c r="U7" s="21"/>
      <c r="V7" s="21"/>
      <c r="W7" s="21">
        <f>145*1.75</f>
        <v>253.75</v>
      </c>
      <c r="X7" s="21"/>
      <c r="Y7" s="21"/>
      <c r="Z7" s="21"/>
      <c r="AA7" s="21"/>
      <c r="AB7" s="21"/>
      <c r="AC7" s="21"/>
      <c r="AD7" s="21"/>
      <c r="AE7" s="21"/>
      <c r="AF7" s="62"/>
      <c r="AG7" s="62"/>
      <c r="AH7" s="62"/>
      <c r="AI7" s="62"/>
      <c r="AJ7" s="62"/>
      <c r="AK7" s="62"/>
      <c r="AL7" s="62"/>
      <c r="AM7" s="62"/>
    </row>
    <row r="8" spans="1:39" s="24" customFormat="1" ht="8.25">
      <c r="A8" s="18">
        <f>SUM(0+D8)</f>
        <v>537.6600000000001</v>
      </c>
      <c r="B8" s="19" t="s">
        <v>38</v>
      </c>
      <c r="C8" s="20" t="s">
        <v>37</v>
      </c>
      <c r="D8" s="21">
        <f>SUM(E8:AE8)</f>
        <v>537.6600000000001</v>
      </c>
      <c r="E8" s="23">
        <f>51*2.07</f>
        <v>105.57</v>
      </c>
      <c r="F8" s="23">
        <f>33*0.16</f>
        <v>5.28</v>
      </c>
      <c r="G8" s="22"/>
      <c r="H8" s="22"/>
      <c r="I8" s="22"/>
      <c r="J8" s="21">
        <f>91*1.1</f>
        <v>100.10000000000001</v>
      </c>
      <c r="K8" s="21"/>
      <c r="L8" s="21">
        <f>331*0.44</f>
        <v>145.64000000000001</v>
      </c>
      <c r="M8" s="21">
        <v>144</v>
      </c>
      <c r="N8" s="21">
        <f>43*0.38</f>
        <v>16.34</v>
      </c>
      <c r="O8" s="21"/>
      <c r="P8" s="21">
        <f>33*0.25</f>
        <v>8.25</v>
      </c>
      <c r="Q8" s="21"/>
      <c r="R8" s="21"/>
      <c r="S8" s="21"/>
      <c r="T8" s="21"/>
      <c r="U8" s="21"/>
      <c r="V8" s="21"/>
      <c r="W8" s="21"/>
      <c r="X8" s="21">
        <f>26*0.48</f>
        <v>12.48</v>
      </c>
      <c r="Y8" s="21"/>
      <c r="Z8" s="21"/>
      <c r="AA8" s="21"/>
      <c r="AB8" s="21"/>
      <c r="AC8" s="21"/>
      <c r="AD8" s="21"/>
      <c r="AE8" s="21"/>
      <c r="AF8" s="63"/>
      <c r="AG8" s="63"/>
      <c r="AH8" s="63"/>
      <c r="AI8" s="63"/>
      <c r="AJ8" s="63"/>
      <c r="AK8" s="63"/>
      <c r="AL8" s="63"/>
      <c r="AM8" s="63"/>
    </row>
    <row r="9" spans="1:39" s="24" customFormat="1" ht="8.25">
      <c r="A9" s="18">
        <f>SUM(0+D9)</f>
        <v>517.21</v>
      </c>
      <c r="B9" s="19" t="s">
        <v>180</v>
      </c>
      <c r="C9" s="20" t="s">
        <v>21</v>
      </c>
      <c r="D9" s="21">
        <f>SUM(E9:AE9)</f>
        <v>517.21</v>
      </c>
      <c r="E9" s="23">
        <f>35*2.07</f>
        <v>72.44999999999999</v>
      </c>
      <c r="F9" s="23"/>
      <c r="G9" s="22"/>
      <c r="H9" s="22"/>
      <c r="I9" s="22">
        <f>103*0.96</f>
        <v>98.88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f>94*1.2</f>
        <v>112.8</v>
      </c>
      <c r="U9" s="21"/>
      <c r="V9" s="21">
        <f>85*0.91</f>
        <v>77.35000000000001</v>
      </c>
      <c r="W9" s="21">
        <f>39*1.75</f>
        <v>68.25</v>
      </c>
      <c r="X9" s="21"/>
      <c r="Y9" s="21">
        <f>81*1.08</f>
        <v>87.48</v>
      </c>
      <c r="Z9" s="21"/>
      <c r="AA9" s="21"/>
      <c r="AB9" s="21"/>
      <c r="AC9" s="21"/>
      <c r="AD9" s="21"/>
      <c r="AE9" s="21"/>
      <c r="AF9" s="63"/>
      <c r="AG9" s="63"/>
      <c r="AH9" s="63"/>
      <c r="AI9" s="63"/>
      <c r="AJ9" s="63"/>
      <c r="AK9" s="63"/>
      <c r="AL9" s="63"/>
      <c r="AM9" s="63"/>
    </row>
    <row r="10" spans="1:39" ht="8.25">
      <c r="A10" s="18">
        <f>SUM(0+D10)</f>
        <v>481.84</v>
      </c>
      <c r="B10" s="19" t="s">
        <v>18</v>
      </c>
      <c r="C10" s="20" t="s">
        <v>14</v>
      </c>
      <c r="D10" s="21">
        <f>SUM(E10:AE10)</f>
        <v>481.84</v>
      </c>
      <c r="E10" s="23"/>
      <c r="F10" s="23">
        <f>58*0.16</f>
        <v>9.28</v>
      </c>
      <c r="G10" s="22">
        <f>187*1.14</f>
        <v>213.17999999999998</v>
      </c>
      <c r="H10" s="22"/>
      <c r="I10" s="22"/>
      <c r="J10" s="21">
        <f>59*1.1</f>
        <v>64.9</v>
      </c>
      <c r="K10" s="21"/>
      <c r="L10" s="21"/>
      <c r="M10" s="21">
        <v>61</v>
      </c>
      <c r="N10" s="21">
        <f>53*0.38</f>
        <v>20.14</v>
      </c>
      <c r="O10" s="21"/>
      <c r="P10" s="21">
        <f>58*0.25</f>
        <v>14.5</v>
      </c>
      <c r="Q10" s="21"/>
      <c r="R10" s="21"/>
      <c r="S10" s="21"/>
      <c r="T10" s="21"/>
      <c r="U10" s="21"/>
      <c r="V10" s="21"/>
      <c r="W10" s="21">
        <f>8*1.75</f>
        <v>14</v>
      </c>
      <c r="X10" s="21">
        <f>80*0.48</f>
        <v>38.4</v>
      </c>
      <c r="Y10" s="21">
        <f>43*1.08</f>
        <v>46.440000000000005</v>
      </c>
      <c r="Z10" s="21"/>
      <c r="AA10" s="21"/>
      <c r="AB10" s="21"/>
      <c r="AC10" s="21"/>
      <c r="AD10" s="21"/>
      <c r="AE10" s="21"/>
      <c r="AF10" s="63"/>
      <c r="AG10" s="63"/>
      <c r="AH10" s="63"/>
      <c r="AI10" s="63"/>
      <c r="AJ10" s="63"/>
      <c r="AK10" s="63"/>
      <c r="AL10" s="63"/>
      <c r="AM10" s="63"/>
    </row>
    <row r="11" spans="1:39" s="24" customFormat="1" ht="8.25">
      <c r="A11" s="18">
        <f>SUM(0+D11)</f>
        <v>433.71999999999997</v>
      </c>
      <c r="B11" s="19" t="s">
        <v>229</v>
      </c>
      <c r="C11" s="20" t="s">
        <v>24</v>
      </c>
      <c r="D11" s="21">
        <f>SUM(E11:AE11)</f>
        <v>433.71999999999997</v>
      </c>
      <c r="E11" s="23"/>
      <c r="F11" s="23"/>
      <c r="G11" s="22"/>
      <c r="H11" s="22"/>
      <c r="I11" s="22">
        <f>82*0.96</f>
        <v>78.72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f>133*1.2</f>
        <v>159.6</v>
      </c>
      <c r="U11" s="21"/>
      <c r="V11" s="21">
        <f>74*0.91</f>
        <v>67.34</v>
      </c>
      <c r="W11" s="21">
        <f>38*1.75</f>
        <v>66.5</v>
      </c>
      <c r="X11" s="21"/>
      <c r="Y11" s="21">
        <f>57*1.08</f>
        <v>61.56</v>
      </c>
      <c r="Z11" s="21"/>
      <c r="AA11" s="21"/>
      <c r="AB11" s="21"/>
      <c r="AC11" s="21"/>
      <c r="AD11" s="21"/>
      <c r="AE11" s="21"/>
      <c r="AF11" s="63"/>
      <c r="AG11" s="63"/>
      <c r="AH11" s="63"/>
      <c r="AI11" s="63"/>
      <c r="AJ11" s="63"/>
      <c r="AK11" s="63"/>
      <c r="AL11" s="63"/>
      <c r="AM11" s="63"/>
    </row>
    <row r="12" spans="1:39" ht="8.25">
      <c r="A12" s="18">
        <f>SUM(0+D12)</f>
        <v>354</v>
      </c>
      <c r="B12" s="19" t="s">
        <v>186</v>
      </c>
      <c r="C12" s="20" t="s">
        <v>7</v>
      </c>
      <c r="D12" s="21">
        <f>SUM(E12:AE12)</f>
        <v>354</v>
      </c>
      <c r="E12" s="23">
        <f>122*2.07</f>
        <v>252.54</v>
      </c>
      <c r="F12" s="23"/>
      <c r="G12" s="22">
        <f>89*1.14</f>
        <v>101.46</v>
      </c>
      <c r="H12" s="22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63"/>
      <c r="AG12" s="63"/>
      <c r="AH12" s="63"/>
      <c r="AI12" s="63"/>
      <c r="AJ12" s="63"/>
      <c r="AK12" s="63"/>
      <c r="AL12" s="63"/>
      <c r="AM12" s="63"/>
    </row>
    <row r="13" spans="1:39" ht="8.25">
      <c r="A13" s="18">
        <f>SUM(0+D13)</f>
        <v>350.77000000000004</v>
      </c>
      <c r="B13" s="19" t="s">
        <v>67</v>
      </c>
      <c r="C13" s="20" t="s">
        <v>17</v>
      </c>
      <c r="D13" s="21">
        <f>SUM(E13:AE13)</f>
        <v>350.77000000000004</v>
      </c>
      <c r="E13" s="23"/>
      <c r="F13" s="23"/>
      <c r="G13" s="22"/>
      <c r="H13" s="22">
        <f>391*0.27</f>
        <v>105.57000000000001</v>
      </c>
      <c r="I13" s="22"/>
      <c r="J13" s="21"/>
      <c r="K13" s="21"/>
      <c r="L13" s="21"/>
      <c r="M13" s="22">
        <v>56</v>
      </c>
      <c r="N13" s="21"/>
      <c r="O13" s="21">
        <f>110*0.89</f>
        <v>97.9</v>
      </c>
      <c r="P13" s="21"/>
      <c r="Q13" s="21"/>
      <c r="R13" s="21">
        <f>415*0.22</f>
        <v>91.3</v>
      </c>
      <c r="S13" s="21"/>
      <c r="T13" s="21"/>
      <c r="U13" s="21"/>
      <c r="V13" s="21"/>
      <c r="W13" s="21"/>
      <c r="X13" s="21"/>
      <c r="Y13" s="22"/>
      <c r="Z13" s="22"/>
      <c r="AA13" s="22"/>
      <c r="AB13" s="22"/>
      <c r="AC13" s="22"/>
      <c r="AD13" s="22"/>
      <c r="AE13" s="22"/>
      <c r="AF13" s="63"/>
      <c r="AG13" s="63"/>
      <c r="AH13" s="63"/>
      <c r="AI13" s="63"/>
      <c r="AJ13" s="63"/>
      <c r="AK13" s="63"/>
      <c r="AL13" s="63"/>
      <c r="AM13" s="63"/>
    </row>
    <row r="14" spans="1:39" s="24" customFormat="1" ht="8.25">
      <c r="A14" s="18">
        <f>SUM(0+D14)</f>
        <v>289.02</v>
      </c>
      <c r="B14" s="19" t="s">
        <v>194</v>
      </c>
      <c r="C14" s="20" t="s">
        <v>21</v>
      </c>
      <c r="D14" s="21">
        <f>SUM(E14:AE14)</f>
        <v>289.02</v>
      </c>
      <c r="E14" s="23">
        <f>27*2.07</f>
        <v>55.88999999999999</v>
      </c>
      <c r="F14" s="23"/>
      <c r="G14" s="22"/>
      <c r="H14" s="22"/>
      <c r="I14" s="22">
        <f>6*0.96</f>
        <v>5.76</v>
      </c>
      <c r="J14" s="21"/>
      <c r="K14" s="21">
        <f>44*0.65</f>
        <v>28.6</v>
      </c>
      <c r="L14" s="21"/>
      <c r="M14" s="22"/>
      <c r="N14" s="21"/>
      <c r="O14" s="21"/>
      <c r="P14" s="21"/>
      <c r="Q14" s="21">
        <f>8*0.6</f>
        <v>4.8</v>
      </c>
      <c r="R14" s="21"/>
      <c r="S14" s="21"/>
      <c r="T14" s="21">
        <f>7*1.2</f>
        <v>8.4</v>
      </c>
      <c r="U14" s="21"/>
      <c r="V14" s="21">
        <f>55*0.91</f>
        <v>50.050000000000004</v>
      </c>
      <c r="W14" s="21">
        <f>40*1.75</f>
        <v>70</v>
      </c>
      <c r="X14" s="21">
        <f>33*0.48</f>
        <v>15.84</v>
      </c>
      <c r="Y14" s="22">
        <f>46*1.08</f>
        <v>49.68000000000001</v>
      </c>
      <c r="Z14" s="22"/>
      <c r="AA14" s="22"/>
      <c r="AB14" s="22"/>
      <c r="AC14" s="22"/>
      <c r="AD14" s="22"/>
      <c r="AE14" s="22"/>
      <c r="AF14" s="62"/>
      <c r="AG14" s="62"/>
      <c r="AH14" s="62"/>
      <c r="AI14" s="62"/>
      <c r="AJ14" s="62"/>
      <c r="AK14" s="62"/>
      <c r="AL14" s="62"/>
      <c r="AM14" s="62"/>
    </row>
    <row r="15" spans="1:39" s="24" customFormat="1" ht="8.25">
      <c r="A15" s="18">
        <f>SUM(0+D15)</f>
        <v>267.71</v>
      </c>
      <c r="B15" s="19" t="s">
        <v>79</v>
      </c>
      <c r="C15" s="20" t="s">
        <v>5</v>
      </c>
      <c r="D15" s="21">
        <f>SUM(E15:AE15)</f>
        <v>267.71</v>
      </c>
      <c r="E15" s="23">
        <f>61*2.07</f>
        <v>126.27</v>
      </c>
      <c r="F15" s="23"/>
      <c r="G15" s="22"/>
      <c r="H15" s="22"/>
      <c r="I15" s="22"/>
      <c r="J15" s="21"/>
      <c r="K15" s="21"/>
      <c r="L15" s="21"/>
      <c r="M15" s="21"/>
      <c r="N15" s="21">
        <f>214*0.38</f>
        <v>81.32000000000001</v>
      </c>
      <c r="O15" s="21"/>
      <c r="P15" s="21"/>
      <c r="Q15" s="21">
        <f>25*0.6</f>
        <v>15</v>
      </c>
      <c r="R15" s="21"/>
      <c r="S15" s="21"/>
      <c r="T15" s="21"/>
      <c r="U15" s="21"/>
      <c r="V15" s="21"/>
      <c r="W15" s="21"/>
      <c r="X15" s="21">
        <f>94*0.48</f>
        <v>45.12</v>
      </c>
      <c r="Y15" s="21"/>
      <c r="Z15" s="21"/>
      <c r="AA15" s="21"/>
      <c r="AB15" s="21"/>
      <c r="AC15" s="21"/>
      <c r="AD15" s="21"/>
      <c r="AE15" s="21"/>
      <c r="AF15" s="63"/>
      <c r="AG15" s="63"/>
      <c r="AH15" s="63"/>
      <c r="AI15" s="63"/>
      <c r="AJ15" s="63"/>
      <c r="AK15" s="63"/>
      <c r="AL15" s="63"/>
      <c r="AM15" s="63"/>
    </row>
    <row r="16" spans="1:39" s="24" customFormat="1" ht="8.25">
      <c r="A16" s="18">
        <f>SUM(0+D16)</f>
        <v>236.19</v>
      </c>
      <c r="B16" s="19" t="s">
        <v>152</v>
      </c>
      <c r="C16" s="20" t="s">
        <v>37</v>
      </c>
      <c r="D16" s="21">
        <f>SUM(E16:AE16)</f>
        <v>236.19</v>
      </c>
      <c r="E16" s="23">
        <f>13*2.07</f>
        <v>26.909999999999997</v>
      </c>
      <c r="F16" s="23"/>
      <c r="G16" s="22"/>
      <c r="H16" s="22"/>
      <c r="I16" s="22"/>
      <c r="J16" s="21">
        <f>52*1.1</f>
        <v>57.2</v>
      </c>
      <c r="K16" s="21"/>
      <c r="L16" s="21">
        <f>132*0.44</f>
        <v>58.08</v>
      </c>
      <c r="M16" s="22">
        <v>94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22"/>
      <c r="AA16" s="22"/>
      <c r="AB16" s="22"/>
      <c r="AC16" s="22"/>
      <c r="AD16" s="22"/>
      <c r="AE16" s="22"/>
      <c r="AF16" s="63"/>
      <c r="AG16" s="63"/>
      <c r="AH16" s="63"/>
      <c r="AI16" s="63"/>
      <c r="AJ16" s="63"/>
      <c r="AK16" s="63"/>
      <c r="AL16" s="63"/>
      <c r="AM16" s="63"/>
    </row>
    <row r="17" spans="1:39" ht="8.25">
      <c r="A17" s="18">
        <f>SUM(0+D17)</f>
        <v>232.82</v>
      </c>
      <c r="B17" s="19" t="s">
        <v>3</v>
      </c>
      <c r="C17" s="20" t="s">
        <v>7</v>
      </c>
      <c r="D17" s="21">
        <f>SUM(E17:AE17)</f>
        <v>232.82</v>
      </c>
      <c r="E17" s="23">
        <f>62*2.07</f>
        <v>128.34</v>
      </c>
      <c r="F17" s="23">
        <f>71*0.16</f>
        <v>11.36</v>
      </c>
      <c r="G17" s="22">
        <f>67*1.14</f>
        <v>76.38</v>
      </c>
      <c r="H17" s="22"/>
      <c r="I17" s="22"/>
      <c r="J17" s="21"/>
      <c r="K17" s="21"/>
      <c r="L17" s="21"/>
      <c r="M17" s="22"/>
      <c r="N17" s="21"/>
      <c r="O17" s="21"/>
      <c r="P17" s="21"/>
      <c r="Q17" s="21"/>
      <c r="R17" s="21"/>
      <c r="S17" s="21"/>
      <c r="T17" s="21"/>
      <c r="U17" s="21"/>
      <c r="V17" s="21"/>
      <c r="W17" s="21">
        <f>6*1.75</f>
        <v>10.5</v>
      </c>
      <c r="X17" s="21">
        <f>13*0.48</f>
        <v>6.24</v>
      </c>
      <c r="Y17" s="22"/>
      <c r="Z17" s="22"/>
      <c r="AA17" s="22"/>
      <c r="AB17" s="22"/>
      <c r="AC17" s="22"/>
      <c r="AD17" s="22"/>
      <c r="AE17" s="22"/>
      <c r="AF17" s="62"/>
      <c r="AG17" s="62"/>
      <c r="AH17" s="62"/>
      <c r="AI17" s="62"/>
      <c r="AJ17" s="62"/>
      <c r="AK17" s="62"/>
      <c r="AL17" s="62"/>
      <c r="AM17" s="62"/>
    </row>
    <row r="18" spans="1:39" s="24" customFormat="1" ht="8.25">
      <c r="A18" s="18">
        <f>SUM(0+D18)</f>
        <v>230.53</v>
      </c>
      <c r="B18" s="19" t="s">
        <v>185</v>
      </c>
      <c r="C18" s="20" t="s">
        <v>37</v>
      </c>
      <c r="D18" s="21">
        <f>SUM(E18:AE18)</f>
        <v>230.53</v>
      </c>
      <c r="E18" s="23">
        <f>29*2.07</f>
        <v>60.029999999999994</v>
      </c>
      <c r="F18" s="23"/>
      <c r="G18" s="22"/>
      <c r="H18" s="22"/>
      <c r="I18" s="22"/>
      <c r="J18" s="21">
        <f>155*1.1</f>
        <v>170.5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63"/>
      <c r="AG18" s="63"/>
      <c r="AH18" s="63"/>
      <c r="AI18" s="63"/>
      <c r="AJ18" s="63"/>
      <c r="AK18" s="63"/>
      <c r="AL18" s="63"/>
      <c r="AM18" s="63"/>
    </row>
    <row r="19" spans="1:39" s="24" customFormat="1" ht="8.25">
      <c r="A19" s="18">
        <f>SUM(0+D19)</f>
        <v>195.8</v>
      </c>
      <c r="B19" s="19" t="s">
        <v>27</v>
      </c>
      <c r="C19" s="20" t="s">
        <v>17</v>
      </c>
      <c r="D19" s="21">
        <f>SUM(E19:AE19)</f>
        <v>195.8</v>
      </c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>
        <f>220*0.89</f>
        <v>195.8</v>
      </c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63"/>
      <c r="AG19" s="63"/>
      <c r="AH19" s="63"/>
      <c r="AI19" s="63"/>
      <c r="AJ19" s="63"/>
      <c r="AK19" s="63"/>
      <c r="AL19" s="63"/>
      <c r="AM19" s="63"/>
    </row>
    <row r="20" spans="1:39" s="24" customFormat="1" ht="8.25">
      <c r="A20" s="18">
        <f>SUM(0+D20)</f>
        <v>195.45</v>
      </c>
      <c r="B20" s="19" t="s">
        <v>49</v>
      </c>
      <c r="C20" s="20" t="s">
        <v>35</v>
      </c>
      <c r="D20" s="21">
        <f>SUM(E20:AE20)</f>
        <v>195.45</v>
      </c>
      <c r="E20" s="23">
        <f>15*2.07</f>
        <v>31.049999999999997</v>
      </c>
      <c r="F20" s="23"/>
      <c r="G20" s="22"/>
      <c r="H20" s="22"/>
      <c r="I20" s="22"/>
      <c r="J20" s="21"/>
      <c r="K20" s="21"/>
      <c r="L20" s="21"/>
      <c r="M20" s="21"/>
      <c r="N20" s="21"/>
      <c r="O20" s="21"/>
      <c r="P20" s="21"/>
      <c r="Q20" s="21">
        <f>141*0.6</f>
        <v>84.6</v>
      </c>
      <c r="R20" s="21"/>
      <c r="S20" s="21"/>
      <c r="T20" s="21"/>
      <c r="U20" s="21">
        <f>33*0.13</f>
        <v>4.29</v>
      </c>
      <c r="V20" s="21"/>
      <c r="W20" s="21">
        <f>33*1.75</f>
        <v>57.75</v>
      </c>
      <c r="X20" s="21">
        <f>37*0.48</f>
        <v>17.759999999999998</v>
      </c>
      <c r="Y20" s="21"/>
      <c r="Z20" s="21"/>
      <c r="AA20" s="21"/>
      <c r="AB20" s="21"/>
      <c r="AC20" s="21"/>
      <c r="AD20" s="21"/>
      <c r="AE20" s="21"/>
      <c r="AF20" s="63"/>
      <c r="AG20" s="63"/>
      <c r="AH20" s="63"/>
      <c r="AI20" s="63"/>
      <c r="AJ20" s="63"/>
      <c r="AK20" s="63"/>
      <c r="AL20" s="63"/>
      <c r="AM20" s="63"/>
    </row>
    <row r="21" spans="1:39" s="24" customFormat="1" ht="8.25">
      <c r="A21" s="18">
        <f>SUM(0+D21)</f>
        <v>163.82</v>
      </c>
      <c r="B21" s="19" t="s">
        <v>42</v>
      </c>
      <c r="C21" s="20" t="s">
        <v>17</v>
      </c>
      <c r="D21" s="21">
        <f>SUM(E21:AE21)</f>
        <v>163.82</v>
      </c>
      <c r="E21" s="23">
        <f>7*2.07</f>
        <v>14.489999999999998</v>
      </c>
      <c r="F21" s="23"/>
      <c r="G21" s="22"/>
      <c r="H21" s="22"/>
      <c r="I21" s="22"/>
      <c r="J21" s="21"/>
      <c r="K21" s="21"/>
      <c r="L21" s="21"/>
      <c r="M21" s="21"/>
      <c r="N21" s="21"/>
      <c r="O21" s="21">
        <f>157*0.89</f>
        <v>139.73</v>
      </c>
      <c r="P21" s="21"/>
      <c r="Q21" s="21"/>
      <c r="R21" s="21"/>
      <c r="S21" s="21"/>
      <c r="T21" s="21">
        <f>8*1.2</f>
        <v>9.6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63"/>
      <c r="AG21" s="63"/>
      <c r="AH21" s="63"/>
      <c r="AI21" s="63"/>
      <c r="AJ21" s="63"/>
      <c r="AK21" s="63"/>
      <c r="AL21" s="63"/>
      <c r="AM21" s="63"/>
    </row>
    <row r="22" spans="1:39" ht="8.25">
      <c r="A22" s="18">
        <f>SUM(0+D22)</f>
        <v>136.17000000000002</v>
      </c>
      <c r="B22" s="19" t="s">
        <v>262</v>
      </c>
      <c r="C22" s="20" t="s">
        <v>17</v>
      </c>
      <c r="D22" s="21">
        <f>SUM(E22:AE22)</f>
        <v>136.17000000000002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f>153*0.89</f>
        <v>136.17000000000002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63"/>
      <c r="AG22" s="63"/>
      <c r="AH22" s="63"/>
      <c r="AI22" s="63"/>
      <c r="AJ22" s="63"/>
      <c r="AK22" s="63"/>
      <c r="AL22" s="63"/>
      <c r="AM22" s="63"/>
    </row>
    <row r="23" spans="1:39" ht="8.25">
      <c r="A23" s="18">
        <f>SUM(0+D23)</f>
        <v>120.15</v>
      </c>
      <c r="B23" s="19" t="s">
        <v>261</v>
      </c>
      <c r="C23" s="20" t="s">
        <v>17</v>
      </c>
      <c r="D23" s="21">
        <f>SUM(E23:AE23)</f>
        <v>120.15</v>
      </c>
      <c r="E23" s="22"/>
      <c r="F23" s="22"/>
      <c r="G23" s="22"/>
      <c r="H23" s="22"/>
      <c r="I23" s="22"/>
      <c r="J23" s="22"/>
      <c r="K23" s="22"/>
      <c r="L23" s="22"/>
      <c r="M23" s="22"/>
      <c r="N23" s="21"/>
      <c r="O23" s="21">
        <f>135*0.89</f>
        <v>120.15</v>
      </c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22"/>
      <c r="AA23" s="22"/>
      <c r="AB23" s="22"/>
      <c r="AC23" s="22"/>
      <c r="AD23" s="22"/>
      <c r="AE23" s="22"/>
      <c r="AF23" s="63"/>
      <c r="AG23" s="63"/>
      <c r="AH23" s="63"/>
      <c r="AI23" s="63"/>
      <c r="AJ23" s="63"/>
      <c r="AK23" s="63"/>
      <c r="AL23" s="63"/>
      <c r="AM23" s="63"/>
    </row>
    <row r="24" spans="1:39" s="24" customFormat="1" ht="8.25">
      <c r="A24" s="18">
        <f>SUM(0+D24)</f>
        <v>100.64</v>
      </c>
      <c r="B24" s="19" t="s">
        <v>238</v>
      </c>
      <c r="C24" s="20" t="s">
        <v>5</v>
      </c>
      <c r="D24" s="21">
        <f>SUM(E24:AE24)</f>
        <v>100.64</v>
      </c>
      <c r="E24" s="22"/>
      <c r="F24" s="23">
        <f>86*0.16</f>
        <v>13.76</v>
      </c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f>181*0.48</f>
        <v>86.88</v>
      </c>
      <c r="Y24" s="21"/>
      <c r="Z24" s="21"/>
      <c r="AA24" s="21"/>
      <c r="AB24" s="21"/>
      <c r="AC24" s="21"/>
      <c r="AD24" s="21"/>
      <c r="AE24" s="21"/>
      <c r="AF24" s="62"/>
      <c r="AG24" s="62"/>
      <c r="AH24" s="62"/>
      <c r="AI24" s="62"/>
      <c r="AJ24" s="62"/>
      <c r="AK24" s="62"/>
      <c r="AL24" s="62"/>
      <c r="AM24" s="62"/>
    </row>
    <row r="25" spans="1:39" s="24" customFormat="1" ht="8.25">
      <c r="A25" s="18">
        <f>SUM(0+D25)</f>
        <v>99.6</v>
      </c>
      <c r="B25" s="19" t="s">
        <v>279</v>
      </c>
      <c r="C25" s="20" t="s">
        <v>24</v>
      </c>
      <c r="D25" s="21">
        <f>SUM(E25:AE25)</f>
        <v>99.6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f>83*1.2</f>
        <v>99.6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3"/>
      <c r="AG25" s="63"/>
      <c r="AH25" s="63"/>
      <c r="AI25" s="63"/>
      <c r="AJ25" s="63"/>
      <c r="AK25" s="63"/>
      <c r="AL25" s="63"/>
      <c r="AM25" s="63"/>
    </row>
    <row r="26" spans="1:39" s="24" customFormat="1" ht="8.25">
      <c r="A26" s="18">
        <f>SUM(0+D26)</f>
        <v>97.46000000000001</v>
      </c>
      <c r="B26" s="19" t="s">
        <v>196</v>
      </c>
      <c r="C26" s="20" t="s">
        <v>37</v>
      </c>
      <c r="D26" s="21">
        <f>SUM(E26:AE26)</f>
        <v>97.46000000000001</v>
      </c>
      <c r="E26" s="23"/>
      <c r="F26" s="23"/>
      <c r="G26" s="22"/>
      <c r="H26" s="22"/>
      <c r="I26" s="22"/>
      <c r="J26" s="21">
        <f>7*1.1</f>
        <v>7.700000000000001</v>
      </c>
      <c r="K26" s="21"/>
      <c r="L26" s="21">
        <f>104*0.44</f>
        <v>45.76</v>
      </c>
      <c r="M26" s="22">
        <v>44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2"/>
      <c r="AA26" s="22"/>
      <c r="AB26" s="22"/>
      <c r="AC26" s="22"/>
      <c r="AD26" s="22"/>
      <c r="AE26" s="22"/>
      <c r="AF26" s="62"/>
      <c r="AG26" s="62"/>
      <c r="AH26" s="62"/>
      <c r="AI26" s="62"/>
      <c r="AJ26" s="62"/>
      <c r="AK26" s="62"/>
      <c r="AL26" s="62"/>
      <c r="AM26" s="62"/>
    </row>
    <row r="27" spans="1:39" s="24" customFormat="1" ht="8.25">
      <c r="A27" s="18">
        <f>SUM(0+D27)</f>
        <v>95.54999999999998</v>
      </c>
      <c r="B27" s="19" t="s">
        <v>39</v>
      </c>
      <c r="C27" s="20" t="s">
        <v>9</v>
      </c>
      <c r="D27" s="21">
        <f>SUM(E27:AE27)</f>
        <v>95.54999999999998</v>
      </c>
      <c r="E27" s="23">
        <f>39*2.07</f>
        <v>80.72999999999999</v>
      </c>
      <c r="F27" s="23"/>
      <c r="G27" s="22">
        <f>13*1.14</f>
        <v>14.819999999999999</v>
      </c>
      <c r="H27" s="22"/>
      <c r="I27" s="22"/>
      <c r="J27" s="21"/>
      <c r="K27" s="21"/>
      <c r="L27" s="21"/>
      <c r="M27" s="2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22"/>
      <c r="AA27" s="22"/>
      <c r="AB27" s="22"/>
      <c r="AC27" s="22"/>
      <c r="AD27" s="22"/>
      <c r="AE27" s="22"/>
      <c r="AF27" s="63"/>
      <c r="AG27" s="63"/>
      <c r="AH27" s="63"/>
      <c r="AI27" s="63"/>
      <c r="AJ27" s="63"/>
      <c r="AK27" s="63"/>
      <c r="AL27" s="63"/>
      <c r="AM27" s="63"/>
    </row>
    <row r="28" spans="1:39" s="24" customFormat="1" ht="8.25">
      <c r="A28" s="18">
        <f>SUM(0+D28)</f>
        <v>95.23</v>
      </c>
      <c r="B28" s="19" t="s">
        <v>263</v>
      </c>
      <c r="C28" s="20" t="s">
        <v>17</v>
      </c>
      <c r="D28" s="21">
        <f>SUM(E28:AE28)</f>
        <v>95.23</v>
      </c>
      <c r="E28" s="21"/>
      <c r="F28" s="21"/>
      <c r="G28" s="21"/>
      <c r="H28" s="21"/>
      <c r="I28" s="21"/>
      <c r="J28" s="22"/>
      <c r="K28" s="22"/>
      <c r="L28" s="22"/>
      <c r="M28" s="22"/>
      <c r="N28" s="21"/>
      <c r="O28" s="21">
        <f>107*0.89</f>
        <v>95.23</v>
      </c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22"/>
      <c r="AA28" s="22"/>
      <c r="AB28" s="22"/>
      <c r="AC28" s="22"/>
      <c r="AD28" s="22"/>
      <c r="AE28" s="22"/>
      <c r="AF28" s="63"/>
      <c r="AG28" s="63"/>
      <c r="AH28" s="63"/>
      <c r="AI28" s="63"/>
      <c r="AJ28" s="63"/>
      <c r="AK28" s="63"/>
      <c r="AL28" s="63"/>
      <c r="AM28" s="63"/>
    </row>
    <row r="29" spans="1:39" s="24" customFormat="1" ht="8.25">
      <c r="A29" s="18">
        <f>SUM(0+D29)</f>
        <v>91.13000000000001</v>
      </c>
      <c r="B29" s="19" t="s">
        <v>153</v>
      </c>
      <c r="C29" s="20" t="s">
        <v>37</v>
      </c>
      <c r="D29" s="21">
        <f>SUM(E29:AE29)</f>
        <v>91.13000000000001</v>
      </c>
      <c r="E29" s="23">
        <f>11*2.07</f>
        <v>22.77</v>
      </c>
      <c r="F29" s="23"/>
      <c r="G29" s="22"/>
      <c r="H29" s="22"/>
      <c r="I29" s="22"/>
      <c r="J29" s="21">
        <f>28*1.1</f>
        <v>30.800000000000004</v>
      </c>
      <c r="K29" s="21"/>
      <c r="L29" s="21">
        <f>49*0.44</f>
        <v>21.56</v>
      </c>
      <c r="M29" s="22">
        <v>16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2"/>
      <c r="AB29" s="22"/>
      <c r="AC29" s="22"/>
      <c r="AD29" s="22"/>
      <c r="AE29" s="22"/>
      <c r="AF29" s="62"/>
      <c r="AG29" s="62"/>
      <c r="AH29" s="62"/>
      <c r="AI29" s="62"/>
      <c r="AJ29" s="62"/>
      <c r="AK29" s="62"/>
      <c r="AL29" s="62"/>
      <c r="AM29" s="62"/>
    </row>
    <row r="30" spans="1:39" s="24" customFormat="1" ht="8.25">
      <c r="A30" s="18">
        <f>SUM(0+D30)</f>
        <v>90.05999999999999</v>
      </c>
      <c r="B30" s="19" t="s">
        <v>204</v>
      </c>
      <c r="C30" s="20" t="s">
        <v>7</v>
      </c>
      <c r="D30" s="21">
        <f>SUM(E30:AE30)</f>
        <v>90.05999999999999</v>
      </c>
      <c r="E30" s="23"/>
      <c r="F30" s="23"/>
      <c r="G30" s="22">
        <f>79*1.14</f>
        <v>90.05999999999999</v>
      </c>
      <c r="H30" s="22"/>
      <c r="I30" s="22"/>
      <c r="J30" s="21"/>
      <c r="K30" s="21"/>
      <c r="L30" s="21"/>
      <c r="M30" s="2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62"/>
      <c r="AG30" s="62"/>
      <c r="AH30" s="62"/>
      <c r="AI30" s="62"/>
      <c r="AJ30" s="62"/>
      <c r="AK30" s="62"/>
      <c r="AL30" s="62"/>
      <c r="AM30" s="62"/>
    </row>
    <row r="31" spans="1:39" s="24" customFormat="1" ht="8.25">
      <c r="A31" s="18">
        <f>SUM(0+D31)</f>
        <v>89.89</v>
      </c>
      <c r="B31" s="19" t="s">
        <v>214</v>
      </c>
      <c r="C31" s="20" t="s">
        <v>17</v>
      </c>
      <c r="D31" s="21">
        <f>SUM(E31:AE31)</f>
        <v>89.89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f>101*0.89</f>
        <v>89.89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63"/>
      <c r="AG31" s="63"/>
      <c r="AH31" s="63"/>
      <c r="AI31" s="63"/>
      <c r="AJ31" s="63"/>
      <c r="AK31" s="63"/>
      <c r="AL31" s="63"/>
      <c r="AM31" s="63"/>
    </row>
    <row r="32" spans="1:39" ht="8.25">
      <c r="A32" s="18">
        <f>SUM(0+D32)</f>
        <v>84.07</v>
      </c>
      <c r="B32" s="19" t="s">
        <v>177</v>
      </c>
      <c r="C32" s="20" t="s">
        <v>24</v>
      </c>
      <c r="D32" s="21">
        <f>SUM(E32:AE32)</f>
        <v>84.07</v>
      </c>
      <c r="E32" s="21"/>
      <c r="F32" s="21"/>
      <c r="G32" s="21"/>
      <c r="H32" s="21"/>
      <c r="I32" s="21"/>
      <c r="J32" s="22"/>
      <c r="K32" s="22"/>
      <c r="L32" s="22"/>
      <c r="M32" s="22"/>
      <c r="N32" s="22"/>
      <c r="O32" s="22"/>
      <c r="P32" s="22"/>
      <c r="Q32" s="22"/>
      <c r="R32" s="21"/>
      <c r="S32" s="21"/>
      <c r="T32" s="21">
        <f>35*1.2</f>
        <v>42</v>
      </c>
      <c r="U32" s="21"/>
      <c r="V32" s="21">
        <f>27*0.91</f>
        <v>24.57</v>
      </c>
      <c r="W32" s="21">
        <f>10*1.75</f>
        <v>17.5</v>
      </c>
      <c r="X32" s="21"/>
      <c r="Y32" s="22"/>
      <c r="Z32" s="22"/>
      <c r="AA32" s="22"/>
      <c r="AB32" s="22"/>
      <c r="AC32" s="22"/>
      <c r="AD32" s="22"/>
      <c r="AE32" s="22"/>
      <c r="AF32" s="62"/>
      <c r="AG32" s="62"/>
      <c r="AH32" s="62"/>
      <c r="AI32" s="62"/>
      <c r="AJ32" s="62"/>
      <c r="AK32" s="62"/>
      <c r="AL32" s="62"/>
      <c r="AM32" s="62"/>
    </row>
    <row r="33" spans="1:39" ht="8.25">
      <c r="A33" s="18">
        <f>SUM(0+D33)</f>
        <v>81.64999999999999</v>
      </c>
      <c r="B33" s="19" t="s">
        <v>141</v>
      </c>
      <c r="C33" s="20" t="s">
        <v>5</v>
      </c>
      <c r="D33" s="21">
        <f>SUM(E33:AE33)</f>
        <v>81.64999999999999</v>
      </c>
      <c r="E33" s="23">
        <f>13*2.07</f>
        <v>26.909999999999997</v>
      </c>
      <c r="F33" s="23">
        <f>33*0.16</f>
        <v>5.28</v>
      </c>
      <c r="G33" s="22"/>
      <c r="H33" s="22"/>
      <c r="I33" s="22"/>
      <c r="J33" s="21"/>
      <c r="K33" s="21"/>
      <c r="L33" s="21"/>
      <c r="M33" s="21"/>
      <c r="N33" s="21">
        <f>60*0.38</f>
        <v>22.8</v>
      </c>
      <c r="O33" s="21"/>
      <c r="P33" s="21">
        <f>74*0.25</f>
        <v>18.5</v>
      </c>
      <c r="Q33" s="21"/>
      <c r="R33" s="21"/>
      <c r="S33" s="21"/>
      <c r="T33" s="21"/>
      <c r="U33" s="21"/>
      <c r="V33" s="21"/>
      <c r="W33" s="21"/>
      <c r="X33" s="21">
        <f>17*0.48</f>
        <v>8.16</v>
      </c>
      <c r="Y33" s="21"/>
      <c r="Z33" s="21"/>
      <c r="AA33" s="21"/>
      <c r="AB33" s="21"/>
      <c r="AC33" s="21"/>
      <c r="AD33" s="21"/>
      <c r="AE33" s="21"/>
      <c r="AF33" s="63"/>
      <c r="AG33" s="63"/>
      <c r="AH33" s="63"/>
      <c r="AI33" s="63"/>
      <c r="AJ33" s="63"/>
      <c r="AK33" s="63"/>
      <c r="AL33" s="63"/>
      <c r="AM33" s="63"/>
    </row>
    <row r="34" spans="1:39" ht="8.25">
      <c r="A34" s="18">
        <f>SUM(0+D34)</f>
        <v>81.00999999999999</v>
      </c>
      <c r="B34" s="19" t="s">
        <v>257</v>
      </c>
      <c r="C34" s="20" t="s">
        <v>35</v>
      </c>
      <c r="D34" s="21">
        <f>SUM(E34:AE34)</f>
        <v>81.00999999999999</v>
      </c>
      <c r="E34" s="21"/>
      <c r="F34" s="21"/>
      <c r="G34" s="21"/>
      <c r="H34" s="21"/>
      <c r="I34" s="21"/>
      <c r="J34" s="21"/>
      <c r="K34" s="21"/>
      <c r="L34" s="21"/>
      <c r="M34" s="21"/>
      <c r="N34" s="21">
        <f>102*0.38</f>
        <v>38.76</v>
      </c>
      <c r="O34" s="21"/>
      <c r="P34" s="21"/>
      <c r="Q34" s="21">
        <f>50*0.6</f>
        <v>30</v>
      </c>
      <c r="R34" s="21"/>
      <c r="S34" s="21"/>
      <c r="T34" s="21"/>
      <c r="U34" s="21"/>
      <c r="V34" s="21"/>
      <c r="W34" s="21">
        <f>7*1.75</f>
        <v>12.25</v>
      </c>
      <c r="X34" s="21"/>
      <c r="Y34" s="21"/>
      <c r="Z34" s="21"/>
      <c r="AA34" s="21"/>
      <c r="AB34" s="21"/>
      <c r="AC34" s="21"/>
      <c r="AD34" s="21"/>
      <c r="AE34" s="21"/>
      <c r="AF34" s="63"/>
      <c r="AG34" s="63"/>
      <c r="AH34" s="63"/>
      <c r="AI34" s="63"/>
      <c r="AJ34" s="63"/>
      <c r="AK34" s="63"/>
      <c r="AL34" s="63"/>
      <c r="AM34" s="63"/>
    </row>
    <row r="35" spans="1:39" ht="8.25">
      <c r="A35" s="18">
        <f>SUM(0+D35)</f>
        <v>74.18</v>
      </c>
      <c r="B35" s="19" t="s">
        <v>36</v>
      </c>
      <c r="C35" s="20" t="s">
        <v>17</v>
      </c>
      <c r="D35" s="21">
        <f>SUM(E35:AE35)</f>
        <v>74.18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f>70*0.89</f>
        <v>62.300000000000004</v>
      </c>
      <c r="P35" s="21"/>
      <c r="Q35" s="21"/>
      <c r="R35" s="21"/>
      <c r="S35" s="21"/>
      <c r="T35" s="21"/>
      <c r="U35" s="21"/>
      <c r="V35" s="21"/>
      <c r="W35" s="21"/>
      <c r="X35" s="21"/>
      <c r="Y35" s="21">
        <f>11*1.08</f>
        <v>11.88</v>
      </c>
      <c r="Z35" s="21"/>
      <c r="AA35" s="21"/>
      <c r="AB35" s="21"/>
      <c r="AC35" s="21"/>
      <c r="AD35" s="21"/>
      <c r="AE35" s="21"/>
      <c r="AF35" s="63"/>
      <c r="AG35" s="63"/>
      <c r="AH35" s="63"/>
      <c r="AI35" s="63"/>
      <c r="AJ35" s="63"/>
      <c r="AK35" s="63"/>
      <c r="AL35" s="63"/>
      <c r="AM35" s="63"/>
    </row>
    <row r="36" spans="1:39" ht="8.25">
      <c r="A36" s="18">
        <f>SUM(0+D36)</f>
        <v>57.75</v>
      </c>
      <c r="B36" s="19" t="s">
        <v>289</v>
      </c>
      <c r="C36" s="20" t="s">
        <v>21</v>
      </c>
      <c r="D36" s="21">
        <f>SUM(E36:AE36)</f>
        <v>57.75</v>
      </c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1"/>
      <c r="S36" s="21"/>
      <c r="T36" s="21"/>
      <c r="U36" s="21"/>
      <c r="V36" s="21"/>
      <c r="W36" s="21">
        <f>33*1.75</f>
        <v>57.75</v>
      </c>
      <c r="X36" s="21"/>
      <c r="Y36" s="22"/>
      <c r="Z36" s="22"/>
      <c r="AA36" s="22"/>
      <c r="AB36" s="22"/>
      <c r="AC36" s="22"/>
      <c r="AD36" s="22"/>
      <c r="AE36" s="22"/>
      <c r="AF36" s="62"/>
      <c r="AG36" s="62"/>
      <c r="AH36" s="62"/>
      <c r="AI36" s="62"/>
      <c r="AJ36" s="62"/>
      <c r="AK36" s="62"/>
      <c r="AL36" s="62"/>
      <c r="AM36" s="62"/>
    </row>
    <row r="37" spans="1:39" s="24" customFormat="1" ht="8.25">
      <c r="A37" s="18">
        <f>SUM(0+D37)</f>
        <v>50.440000000000005</v>
      </c>
      <c r="B37" s="19" t="s">
        <v>227</v>
      </c>
      <c r="C37" s="20" t="s">
        <v>17</v>
      </c>
      <c r="D37" s="21">
        <f>SUM(E37:AE37)</f>
        <v>50.440000000000005</v>
      </c>
      <c r="E37" s="23"/>
      <c r="F37" s="23"/>
      <c r="G37" s="22"/>
      <c r="H37" s="22">
        <f>43*0.27</f>
        <v>11.610000000000001</v>
      </c>
      <c r="I37" s="22"/>
      <c r="J37" s="21"/>
      <c r="K37" s="21"/>
      <c r="L37" s="21"/>
      <c r="M37" s="21"/>
      <c r="N37" s="21"/>
      <c r="O37" s="21">
        <f>33*0.89</f>
        <v>29.37</v>
      </c>
      <c r="P37" s="21"/>
      <c r="Q37" s="21"/>
      <c r="R37" s="21">
        <f>43*0.22</f>
        <v>9.46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63"/>
      <c r="AG37" s="63"/>
      <c r="AH37" s="63"/>
      <c r="AI37" s="63"/>
      <c r="AJ37" s="63"/>
      <c r="AK37" s="63"/>
      <c r="AL37" s="63"/>
      <c r="AM37" s="63"/>
    </row>
    <row r="38" spans="1:39" ht="8.25">
      <c r="A38" s="18">
        <f>SUM(0+D38)</f>
        <v>49.67999999999999</v>
      </c>
      <c r="B38" s="19" t="s">
        <v>13</v>
      </c>
      <c r="C38" s="20" t="s">
        <v>9</v>
      </c>
      <c r="D38" s="21">
        <f>SUM(E38:AE38)</f>
        <v>49.67999999999999</v>
      </c>
      <c r="E38" s="23">
        <f>24*2.07</f>
        <v>49.67999999999999</v>
      </c>
      <c r="F38" s="23"/>
      <c r="G38" s="22"/>
      <c r="H38" s="22"/>
      <c r="I38" s="22"/>
      <c r="J38" s="21"/>
      <c r="K38" s="21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  <c r="AA38" s="22"/>
      <c r="AB38" s="22"/>
      <c r="AC38" s="22"/>
      <c r="AD38" s="22"/>
      <c r="AE38" s="22"/>
      <c r="AF38" s="63"/>
      <c r="AG38" s="63"/>
      <c r="AH38" s="63"/>
      <c r="AI38" s="63"/>
      <c r="AJ38" s="63"/>
      <c r="AK38" s="63"/>
      <c r="AL38" s="63"/>
      <c r="AM38" s="63"/>
    </row>
    <row r="39" spans="1:39" s="24" customFormat="1" ht="8.25">
      <c r="A39" s="18">
        <f>SUM(0+D39)</f>
        <v>44.459999999999994</v>
      </c>
      <c r="B39" s="19" t="s">
        <v>205</v>
      </c>
      <c r="C39" s="20" t="s">
        <v>7</v>
      </c>
      <c r="D39" s="21">
        <f>SUM(E39:AE39)</f>
        <v>44.459999999999994</v>
      </c>
      <c r="E39" s="23"/>
      <c r="F39" s="23"/>
      <c r="G39" s="22">
        <f>39*1.14</f>
        <v>44.459999999999994</v>
      </c>
      <c r="H39" s="22"/>
      <c r="I39" s="22"/>
      <c r="J39" s="21"/>
      <c r="K39" s="21"/>
      <c r="L39" s="21"/>
      <c r="M39" s="22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22"/>
      <c r="AA39" s="22"/>
      <c r="AB39" s="22"/>
      <c r="AC39" s="22"/>
      <c r="AD39" s="22"/>
      <c r="AE39" s="22"/>
      <c r="AF39" s="62"/>
      <c r="AG39" s="62"/>
      <c r="AH39" s="62"/>
      <c r="AI39" s="62"/>
      <c r="AJ39" s="62"/>
      <c r="AK39" s="62"/>
      <c r="AL39" s="62"/>
      <c r="AM39" s="62"/>
    </row>
    <row r="40" spans="1:39" s="24" customFormat="1" ht="8.25">
      <c r="A40" s="18">
        <f>SUM(0+D40)</f>
        <v>44</v>
      </c>
      <c r="B40" s="19" t="s">
        <v>216</v>
      </c>
      <c r="C40" s="20" t="s">
        <v>14</v>
      </c>
      <c r="D40" s="21">
        <f>SUM(E40:AE40)</f>
        <v>44</v>
      </c>
      <c r="E40" s="23"/>
      <c r="F40" s="23"/>
      <c r="G40" s="22"/>
      <c r="H40" s="22"/>
      <c r="I40" s="22"/>
      <c r="J40" s="21">
        <f>40*1.1</f>
        <v>44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  <c r="AA40" s="22"/>
      <c r="AB40" s="22"/>
      <c r="AC40" s="22"/>
      <c r="AD40" s="22"/>
      <c r="AE40" s="22"/>
      <c r="AF40" s="63"/>
      <c r="AG40" s="63"/>
      <c r="AH40" s="63"/>
      <c r="AI40" s="63"/>
      <c r="AJ40" s="63"/>
      <c r="AK40" s="63"/>
      <c r="AL40" s="63"/>
      <c r="AM40" s="63"/>
    </row>
    <row r="41" spans="1:39" s="24" customFormat="1" ht="8.25">
      <c r="A41" s="18">
        <f>SUM(0+D41)</f>
        <v>43.769999999999996</v>
      </c>
      <c r="B41" s="19" t="s">
        <v>182</v>
      </c>
      <c r="C41" s="20" t="s">
        <v>14</v>
      </c>
      <c r="D41" s="21">
        <f>SUM(E41:AE41)</f>
        <v>43.769999999999996</v>
      </c>
      <c r="E41" s="23"/>
      <c r="F41" s="23"/>
      <c r="G41" s="22"/>
      <c r="H41" s="22"/>
      <c r="I41" s="22">
        <f>12*0.96</f>
        <v>11.52</v>
      </c>
      <c r="J41" s="21"/>
      <c r="K41" s="21">
        <f>20*0.65</f>
        <v>13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f>11*1.75</f>
        <v>19.25</v>
      </c>
      <c r="X41" s="21"/>
      <c r="Y41" s="21"/>
      <c r="Z41" s="21"/>
      <c r="AA41" s="21"/>
      <c r="AB41" s="21"/>
      <c r="AC41" s="21"/>
      <c r="AD41" s="21"/>
      <c r="AE41" s="21"/>
      <c r="AF41" s="62"/>
      <c r="AG41" s="62"/>
      <c r="AH41" s="62"/>
      <c r="AI41" s="62"/>
      <c r="AJ41" s="62"/>
      <c r="AK41" s="62"/>
      <c r="AL41" s="62"/>
      <c r="AM41" s="62"/>
    </row>
    <row r="42" spans="1:39" ht="8.25">
      <c r="A42" s="18">
        <f>SUM(0+D42)</f>
        <v>41.470000000000006</v>
      </c>
      <c r="B42" s="19" t="s">
        <v>264</v>
      </c>
      <c r="C42" s="20" t="s">
        <v>17</v>
      </c>
      <c r="D42" s="21">
        <f>SUM(E42:AE42)</f>
        <v>41.470000000000006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>
        <f>43*0.89</f>
        <v>38.27</v>
      </c>
      <c r="P42" s="21"/>
      <c r="Q42" s="21"/>
      <c r="R42" s="21"/>
      <c r="S42" s="21">
        <f>16*0.2</f>
        <v>3.2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63"/>
      <c r="AG42" s="63"/>
      <c r="AH42" s="63"/>
      <c r="AI42" s="63"/>
      <c r="AJ42" s="63"/>
      <c r="AK42" s="63"/>
      <c r="AL42" s="63"/>
      <c r="AM42" s="63"/>
    </row>
    <row r="43" spans="1:39" ht="8.25">
      <c r="A43" s="18">
        <f>SUM(0+D43)</f>
        <v>39.97</v>
      </c>
      <c r="B43" s="19" t="s">
        <v>188</v>
      </c>
      <c r="C43" s="20" t="s">
        <v>37</v>
      </c>
      <c r="D43" s="21">
        <f>SUM(E43:AE43)</f>
        <v>39.97</v>
      </c>
      <c r="E43" s="23">
        <f>9*2.07</f>
        <v>18.63</v>
      </c>
      <c r="F43" s="23"/>
      <c r="G43" s="22"/>
      <c r="H43" s="22"/>
      <c r="I43" s="22"/>
      <c r="J43" s="21">
        <f>9*1.1</f>
        <v>9.9</v>
      </c>
      <c r="K43" s="21"/>
      <c r="L43" s="21">
        <f>26*0.44</f>
        <v>11.44</v>
      </c>
      <c r="M43" s="22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22"/>
      <c r="AA43" s="22"/>
      <c r="AB43" s="22"/>
      <c r="AC43" s="22"/>
      <c r="AD43" s="22"/>
      <c r="AE43" s="22"/>
      <c r="AF43" s="63"/>
      <c r="AG43" s="63"/>
      <c r="AH43" s="63"/>
      <c r="AI43" s="63"/>
      <c r="AJ43" s="63"/>
      <c r="AK43" s="63"/>
      <c r="AL43" s="63"/>
      <c r="AM43" s="63"/>
    </row>
    <row r="44" spans="1:39" ht="8.25">
      <c r="A44" s="18">
        <f>SUM(0+D44)</f>
        <v>36.6</v>
      </c>
      <c r="B44" s="19" t="s">
        <v>273</v>
      </c>
      <c r="C44" s="20" t="s">
        <v>17</v>
      </c>
      <c r="D44" s="21">
        <f>SUM(E44:AE44)</f>
        <v>36.6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f>183*0.2</f>
        <v>36.6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63"/>
      <c r="AG44" s="63"/>
      <c r="AH44" s="63"/>
      <c r="AI44" s="63"/>
      <c r="AJ44" s="63"/>
      <c r="AK44" s="63"/>
      <c r="AL44" s="63"/>
      <c r="AM44" s="63"/>
    </row>
    <row r="45" spans="1:39" s="24" customFormat="1" ht="8.25">
      <c r="A45" s="18">
        <f>SUM(0+D45)</f>
        <v>33.480000000000004</v>
      </c>
      <c r="B45" s="19" t="s">
        <v>164</v>
      </c>
      <c r="C45" s="20" t="s">
        <v>21</v>
      </c>
      <c r="D45" s="21">
        <f>SUM(E45:AE45)</f>
        <v>33.480000000000004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>
        <f>31*1.08</f>
        <v>33.480000000000004</v>
      </c>
      <c r="Z45" s="21"/>
      <c r="AA45" s="21"/>
      <c r="AB45" s="21"/>
      <c r="AC45" s="21"/>
      <c r="AD45" s="21"/>
      <c r="AE45" s="21"/>
      <c r="AF45" s="63"/>
      <c r="AG45" s="63"/>
      <c r="AH45" s="63"/>
      <c r="AI45" s="63"/>
      <c r="AJ45" s="63"/>
      <c r="AK45" s="63"/>
      <c r="AL45" s="63"/>
      <c r="AM45" s="63"/>
    </row>
    <row r="46" spans="1:39" s="24" customFormat="1" ht="8.25">
      <c r="A46" s="18">
        <f>SUM(0+D46)</f>
        <v>31.2</v>
      </c>
      <c r="B46" s="19" t="s">
        <v>283</v>
      </c>
      <c r="C46" s="20" t="s">
        <v>24</v>
      </c>
      <c r="D46" s="21">
        <f>SUM(E46:AE46)</f>
        <v>31.2</v>
      </c>
      <c r="E46" s="21"/>
      <c r="F46" s="21"/>
      <c r="G46" s="21"/>
      <c r="H46" s="21"/>
      <c r="I46" s="21"/>
      <c r="J46" s="22"/>
      <c r="K46" s="22"/>
      <c r="L46" s="22"/>
      <c r="M46" s="22"/>
      <c r="N46" s="22"/>
      <c r="O46" s="22"/>
      <c r="P46" s="22"/>
      <c r="Q46" s="22"/>
      <c r="R46" s="21"/>
      <c r="S46" s="21"/>
      <c r="T46" s="21">
        <f>26*1.2</f>
        <v>31.2</v>
      </c>
      <c r="U46" s="21"/>
      <c r="V46" s="21"/>
      <c r="W46" s="21"/>
      <c r="X46" s="21"/>
      <c r="Y46" s="22"/>
      <c r="Z46" s="22"/>
      <c r="AA46" s="22"/>
      <c r="AB46" s="22"/>
      <c r="AC46" s="22"/>
      <c r="AD46" s="22"/>
      <c r="AE46" s="2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8.25">
      <c r="A47" s="18">
        <f>SUM(0+D47)</f>
        <v>30</v>
      </c>
      <c r="B47" s="19" t="s">
        <v>234</v>
      </c>
      <c r="C47" s="20" t="s">
        <v>24</v>
      </c>
      <c r="D47" s="21">
        <f>SUM(E47:AE47)</f>
        <v>30</v>
      </c>
      <c r="E47" s="21"/>
      <c r="F47" s="21"/>
      <c r="G47" s="21"/>
      <c r="H47" s="21"/>
      <c r="I47" s="21"/>
      <c r="J47" s="22"/>
      <c r="K47" s="22"/>
      <c r="L47" s="22"/>
      <c r="M47" s="22"/>
      <c r="N47" s="22"/>
      <c r="O47" s="21"/>
      <c r="P47" s="21"/>
      <c r="Q47" s="21"/>
      <c r="R47" s="21"/>
      <c r="S47" s="21"/>
      <c r="T47" s="21">
        <f>25*1.2</f>
        <v>30</v>
      </c>
      <c r="U47" s="21"/>
      <c r="V47" s="21"/>
      <c r="W47" s="21"/>
      <c r="X47" s="21"/>
      <c r="Y47" s="22"/>
      <c r="Z47" s="22"/>
      <c r="AA47" s="22"/>
      <c r="AB47" s="22"/>
      <c r="AC47" s="22"/>
      <c r="AD47" s="22"/>
      <c r="AE47" s="22"/>
      <c r="AF47" s="62"/>
      <c r="AG47" s="62"/>
      <c r="AH47" s="62"/>
      <c r="AI47" s="62"/>
      <c r="AJ47" s="62"/>
      <c r="AK47" s="62"/>
      <c r="AL47" s="62"/>
      <c r="AM47" s="62"/>
    </row>
    <row r="48" spans="1:39" s="24" customFormat="1" ht="8.25">
      <c r="A48" s="18">
        <f>SUM(0+D48)</f>
        <v>29.900000000000002</v>
      </c>
      <c r="B48" s="19" t="s">
        <v>25</v>
      </c>
      <c r="C48" s="20" t="s">
        <v>26</v>
      </c>
      <c r="D48" s="21">
        <f>SUM(E48:AE48)</f>
        <v>29.900000000000002</v>
      </c>
      <c r="E48" s="21"/>
      <c r="F48" s="23"/>
      <c r="G48" s="21"/>
      <c r="H48" s="21"/>
      <c r="I48" s="22"/>
      <c r="J48" s="21"/>
      <c r="K48" s="21">
        <f>46*0.65</f>
        <v>29.900000000000002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63"/>
      <c r="AG48" s="63"/>
      <c r="AH48" s="63"/>
      <c r="AI48" s="63"/>
      <c r="AJ48" s="63"/>
      <c r="AK48" s="63"/>
      <c r="AL48" s="63"/>
      <c r="AM48" s="63"/>
    </row>
    <row r="49" spans="1:39" s="24" customFormat="1" ht="8.25">
      <c r="A49" s="18">
        <f>SUM(0+D49)</f>
        <v>23.200000000000003</v>
      </c>
      <c r="B49" s="19" t="s">
        <v>272</v>
      </c>
      <c r="C49" s="20" t="s">
        <v>17</v>
      </c>
      <c r="D49" s="21">
        <f>SUM(E49:AE49)</f>
        <v>23.200000000000003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f>116*0.2</f>
        <v>23.200000000000003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62"/>
      <c r="AG49" s="62"/>
      <c r="AH49" s="62"/>
      <c r="AI49" s="62"/>
      <c r="AJ49" s="62"/>
      <c r="AK49" s="62"/>
      <c r="AL49" s="62"/>
      <c r="AM49" s="62"/>
    </row>
    <row r="50" spans="1:39" ht="8.25">
      <c r="A50" s="18">
        <f>SUM(0+D50)</f>
        <v>23.14</v>
      </c>
      <c r="B50" s="19" t="s">
        <v>267</v>
      </c>
      <c r="C50" s="20" t="s">
        <v>17</v>
      </c>
      <c r="D50" s="21">
        <f>SUM(E50:AE50)</f>
        <v>23.14</v>
      </c>
      <c r="E50" s="21"/>
      <c r="F50" s="21"/>
      <c r="G50" s="21"/>
      <c r="H50" s="21"/>
      <c r="I50" s="21"/>
      <c r="J50" s="22"/>
      <c r="K50" s="22"/>
      <c r="L50" s="22"/>
      <c r="M50" s="22"/>
      <c r="N50" s="21"/>
      <c r="O50" s="21">
        <f>26*0.89</f>
        <v>23.14</v>
      </c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22"/>
      <c r="AA50" s="22"/>
      <c r="AB50" s="22"/>
      <c r="AC50" s="22"/>
      <c r="AD50" s="22"/>
      <c r="AE50" s="22"/>
      <c r="AF50" s="63"/>
      <c r="AG50" s="63"/>
      <c r="AH50" s="63"/>
      <c r="AI50" s="63"/>
      <c r="AJ50" s="63"/>
      <c r="AK50" s="63"/>
      <c r="AL50" s="63"/>
      <c r="AM50" s="63"/>
    </row>
    <row r="51" spans="1:39" ht="8.25">
      <c r="A51" s="18">
        <f>SUM(0+D51)</f>
        <v>22.77</v>
      </c>
      <c r="B51" s="19" t="s">
        <v>195</v>
      </c>
      <c r="C51" s="20" t="s">
        <v>5</v>
      </c>
      <c r="D51" s="21">
        <f>SUM(E51:AE51)</f>
        <v>22.77</v>
      </c>
      <c r="E51" s="23">
        <f>11*2.07</f>
        <v>22.77</v>
      </c>
      <c r="F51" s="23"/>
      <c r="G51" s="22"/>
      <c r="H51" s="22"/>
      <c r="I51" s="22"/>
      <c r="J51" s="21"/>
      <c r="K51" s="21"/>
      <c r="L51" s="21"/>
      <c r="M51" s="2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2"/>
      <c r="AA51" s="22"/>
      <c r="AB51" s="22"/>
      <c r="AC51" s="22"/>
      <c r="AD51" s="22"/>
      <c r="AE51" s="22"/>
      <c r="AF51" s="62"/>
      <c r="AG51" s="62"/>
      <c r="AH51" s="62"/>
      <c r="AI51" s="62"/>
      <c r="AJ51" s="62"/>
      <c r="AK51" s="62"/>
      <c r="AL51" s="62"/>
      <c r="AM51" s="62"/>
    </row>
    <row r="52" spans="1:39" s="24" customFormat="1" ht="8.25">
      <c r="A52" s="18">
        <f>SUM(0+D52)</f>
        <v>22.36</v>
      </c>
      <c r="B52" s="19" t="s">
        <v>210</v>
      </c>
      <c r="C52" s="20" t="s">
        <v>7</v>
      </c>
      <c r="D52" s="21">
        <f>SUM(E52:AE52)</f>
        <v>22.36</v>
      </c>
      <c r="E52" s="23"/>
      <c r="F52" s="23"/>
      <c r="G52" s="22">
        <f>9*1.14</f>
        <v>10.26</v>
      </c>
      <c r="H52" s="22"/>
      <c r="I52" s="22"/>
      <c r="J52" s="21">
        <f>11*1.1</f>
        <v>12.100000000000001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63"/>
      <c r="AG52" s="63"/>
      <c r="AH52" s="63"/>
      <c r="AI52" s="63"/>
      <c r="AJ52" s="63"/>
      <c r="AK52" s="63"/>
      <c r="AL52" s="63"/>
      <c r="AM52" s="63"/>
    </row>
    <row r="53" spans="1:39" s="24" customFormat="1" ht="8.25">
      <c r="A53" s="18">
        <f>SUM(0+D53)</f>
        <v>20.1</v>
      </c>
      <c r="B53" s="19" t="s">
        <v>20</v>
      </c>
      <c r="C53" s="20" t="s">
        <v>17</v>
      </c>
      <c r="D53" s="21">
        <f>SUM(E53:AE53)</f>
        <v>20.1</v>
      </c>
      <c r="E53" s="21"/>
      <c r="F53" s="23"/>
      <c r="G53" s="21"/>
      <c r="H53" s="21"/>
      <c r="I53" s="22"/>
      <c r="J53" s="21"/>
      <c r="K53" s="21">
        <f>9*0.65</f>
        <v>5.8500000000000005</v>
      </c>
      <c r="L53" s="21"/>
      <c r="M53" s="21"/>
      <c r="N53" s="21"/>
      <c r="O53" s="21"/>
      <c r="P53" s="21">
        <f>57*0.25</f>
        <v>14.25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63"/>
      <c r="AG53" s="63"/>
      <c r="AH53" s="63"/>
      <c r="AI53" s="63"/>
      <c r="AJ53" s="63"/>
      <c r="AK53" s="63"/>
      <c r="AL53" s="63"/>
      <c r="AM53" s="63"/>
    </row>
    <row r="54" spans="1:39" s="24" customFormat="1" ht="8.25">
      <c r="A54" s="18">
        <f>SUM(0+D54)</f>
        <v>20</v>
      </c>
      <c r="B54" s="19" t="s">
        <v>184</v>
      </c>
      <c r="C54" s="20" t="s">
        <v>17</v>
      </c>
      <c r="D54" s="21">
        <f>SUM(E54:AE54)</f>
        <v>20</v>
      </c>
      <c r="E54" s="21"/>
      <c r="F54" s="23"/>
      <c r="G54" s="21"/>
      <c r="H54" s="21"/>
      <c r="I54" s="22">
        <f>8*0.96</f>
        <v>7.68</v>
      </c>
      <c r="J54" s="21"/>
      <c r="K54" s="21"/>
      <c r="L54" s="21"/>
      <c r="M54" s="21"/>
      <c r="N54" s="21"/>
      <c r="O54" s="21"/>
      <c r="P54" s="21"/>
      <c r="Q54" s="21"/>
      <c r="R54" s="21">
        <f>56*0.22</f>
        <v>12.32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63"/>
      <c r="AG54" s="63"/>
      <c r="AH54" s="63"/>
      <c r="AI54" s="63"/>
      <c r="AJ54" s="63"/>
      <c r="AK54" s="63"/>
      <c r="AL54" s="63"/>
      <c r="AM54" s="63"/>
    </row>
    <row r="55" spans="1:39" s="24" customFormat="1" ht="8.25">
      <c r="A55" s="18">
        <f>SUM(0+D55)</f>
        <v>18.36</v>
      </c>
      <c r="B55" s="19" t="s">
        <v>165</v>
      </c>
      <c r="C55" s="20" t="s">
        <v>21</v>
      </c>
      <c r="D55" s="21">
        <f>SUM(E55:AE55)</f>
        <v>18.36</v>
      </c>
      <c r="E55" s="22"/>
      <c r="F55" s="23"/>
      <c r="G55" s="22"/>
      <c r="H55" s="22"/>
      <c r="I55" s="22">
        <f>9*0.96</f>
        <v>8.64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>
        <f>9*1.08</f>
        <v>9.72</v>
      </c>
      <c r="Z55" s="21"/>
      <c r="AA55" s="21"/>
      <c r="AB55" s="21"/>
      <c r="AC55" s="21"/>
      <c r="AD55" s="21"/>
      <c r="AE55" s="21"/>
      <c r="AF55" s="63"/>
      <c r="AG55" s="63"/>
      <c r="AH55" s="63"/>
      <c r="AI55" s="63"/>
      <c r="AJ55" s="63"/>
      <c r="AK55" s="63"/>
      <c r="AL55" s="63"/>
      <c r="AM55" s="63"/>
    </row>
    <row r="56" spans="1:39" ht="8.25">
      <c r="A56" s="18">
        <f>SUM(0+D56)</f>
        <v>16.78</v>
      </c>
      <c r="B56" s="19" t="s">
        <v>209</v>
      </c>
      <c r="C56" s="20" t="s">
        <v>7</v>
      </c>
      <c r="D56" s="21">
        <f>SUM(E56:AE56)</f>
        <v>16.78</v>
      </c>
      <c r="E56" s="23"/>
      <c r="F56" s="23"/>
      <c r="G56" s="22">
        <f>7*1.14</f>
        <v>7.9799999999999995</v>
      </c>
      <c r="H56" s="22"/>
      <c r="I56" s="22"/>
      <c r="J56" s="21">
        <f>8*1.1</f>
        <v>8.8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63"/>
      <c r="AG56" s="63"/>
      <c r="AH56" s="63"/>
      <c r="AI56" s="63"/>
      <c r="AJ56" s="63"/>
      <c r="AK56" s="63"/>
      <c r="AL56" s="63"/>
      <c r="AM56" s="63"/>
    </row>
    <row r="57" spans="1:39" s="24" customFormat="1" ht="8.25">
      <c r="A57" s="18">
        <f>SUM(0+D57)</f>
        <v>15.200000000000001</v>
      </c>
      <c r="B57" s="19" t="s">
        <v>274</v>
      </c>
      <c r="C57" s="20" t="s">
        <v>17</v>
      </c>
      <c r="D57" s="21">
        <f>SUM(E57:AE57)</f>
        <v>15.200000000000001</v>
      </c>
      <c r="E57" s="22"/>
      <c r="F57" s="22"/>
      <c r="G57" s="22"/>
      <c r="H57" s="22"/>
      <c r="I57" s="22"/>
      <c r="J57" s="21"/>
      <c r="K57" s="21"/>
      <c r="L57" s="21"/>
      <c r="M57" s="21"/>
      <c r="N57" s="21"/>
      <c r="O57" s="21"/>
      <c r="P57" s="21"/>
      <c r="Q57" s="21"/>
      <c r="R57" s="21"/>
      <c r="S57" s="21">
        <f>76*0.2</f>
        <v>15.200000000000001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63"/>
      <c r="AG57" s="63"/>
      <c r="AH57" s="63"/>
      <c r="AI57" s="63"/>
      <c r="AJ57" s="63"/>
      <c r="AK57" s="63"/>
      <c r="AL57" s="63"/>
      <c r="AM57" s="63"/>
    </row>
    <row r="58" spans="1:39" s="24" customFormat="1" ht="8.25">
      <c r="A58" s="18">
        <f>SUM(0+D58)</f>
        <v>14.399999999999999</v>
      </c>
      <c r="B58" s="19" t="s">
        <v>281</v>
      </c>
      <c r="C58" s="20" t="s">
        <v>24</v>
      </c>
      <c r="D58" s="21">
        <f>SUM(E58:AE58)</f>
        <v>14.399999999999999</v>
      </c>
      <c r="E58" s="21"/>
      <c r="F58" s="21"/>
      <c r="G58" s="21"/>
      <c r="H58" s="21"/>
      <c r="I58" s="21"/>
      <c r="J58" s="22"/>
      <c r="K58" s="22"/>
      <c r="L58" s="22"/>
      <c r="M58" s="22"/>
      <c r="N58" s="22"/>
      <c r="O58" s="22"/>
      <c r="P58" s="22"/>
      <c r="Q58" s="22"/>
      <c r="R58" s="21"/>
      <c r="S58" s="21"/>
      <c r="T58" s="21">
        <f>12*1.2</f>
        <v>14.399999999999999</v>
      </c>
      <c r="U58" s="21"/>
      <c r="V58" s="21"/>
      <c r="W58" s="21"/>
      <c r="X58" s="21"/>
      <c r="Y58" s="22"/>
      <c r="Z58" s="22"/>
      <c r="AA58" s="22"/>
      <c r="AB58" s="22"/>
      <c r="AC58" s="22"/>
      <c r="AD58" s="22"/>
      <c r="AE58" s="22"/>
      <c r="AF58" s="62"/>
      <c r="AG58" s="62"/>
      <c r="AH58" s="62"/>
      <c r="AI58" s="62"/>
      <c r="AJ58" s="62"/>
      <c r="AK58" s="62"/>
      <c r="AL58" s="62"/>
      <c r="AM58" s="62"/>
    </row>
    <row r="59" spans="1:39" s="24" customFormat="1" ht="8.25">
      <c r="A59" s="18">
        <f>SUM(0+D59)</f>
        <v>14.04</v>
      </c>
      <c r="B59" s="19" t="s">
        <v>142</v>
      </c>
      <c r="C59" s="20" t="s">
        <v>21</v>
      </c>
      <c r="D59" s="21">
        <f>SUM(E59:AE59)</f>
        <v>14.04</v>
      </c>
      <c r="E59" s="21"/>
      <c r="F59" s="23"/>
      <c r="G59" s="21"/>
      <c r="H59" s="21"/>
      <c r="I59" s="22"/>
      <c r="J59" s="21"/>
      <c r="K59" s="21">
        <f>9*0.65</f>
        <v>5.8500000000000005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f>9*0.91</f>
        <v>8.19</v>
      </c>
      <c r="W59" s="21"/>
      <c r="X59" s="21"/>
      <c r="Y59" s="21"/>
      <c r="Z59" s="21"/>
      <c r="AA59" s="21"/>
      <c r="AB59" s="21"/>
      <c r="AC59" s="21"/>
      <c r="AD59" s="21"/>
      <c r="AE59" s="21"/>
      <c r="AF59" s="63"/>
      <c r="AG59" s="63"/>
      <c r="AH59" s="63"/>
      <c r="AI59" s="63"/>
      <c r="AJ59" s="63"/>
      <c r="AK59" s="63"/>
      <c r="AL59" s="63"/>
      <c r="AM59" s="63"/>
    </row>
    <row r="60" spans="1:39" s="24" customFormat="1" ht="8.25">
      <c r="A60" s="18">
        <f>SUM(0+D60)</f>
        <v>13</v>
      </c>
      <c r="B60" s="19" t="s">
        <v>259</v>
      </c>
      <c r="C60" s="20" t="s">
        <v>5</v>
      </c>
      <c r="D60" s="21">
        <f>SUM(E60:AE60)</f>
        <v>13</v>
      </c>
      <c r="E60" s="21"/>
      <c r="F60" s="21"/>
      <c r="G60" s="21"/>
      <c r="H60" s="21"/>
      <c r="I60" s="21"/>
      <c r="J60" s="22"/>
      <c r="K60" s="22"/>
      <c r="L60" s="22"/>
      <c r="M60" s="22"/>
      <c r="N60" s="22"/>
      <c r="O60" s="22"/>
      <c r="P60" s="22">
        <f>52*0.25</f>
        <v>13</v>
      </c>
      <c r="Q60" s="22"/>
      <c r="R60" s="21"/>
      <c r="S60" s="21"/>
      <c r="T60" s="21"/>
      <c r="U60" s="21"/>
      <c r="V60" s="21"/>
      <c r="W60" s="21"/>
      <c r="X60" s="21"/>
      <c r="Y60" s="22"/>
      <c r="Z60" s="22"/>
      <c r="AA60" s="22"/>
      <c r="AB60" s="22"/>
      <c r="AC60" s="22"/>
      <c r="AD60" s="22"/>
      <c r="AE60" s="22"/>
      <c r="AF60" s="62"/>
      <c r="AG60" s="62"/>
      <c r="AH60" s="62"/>
      <c r="AI60" s="62"/>
      <c r="AJ60" s="62"/>
      <c r="AK60" s="62"/>
      <c r="AL60" s="62"/>
      <c r="AM60" s="62"/>
    </row>
    <row r="61" spans="1:39" s="24" customFormat="1" ht="8.25">
      <c r="A61" s="18">
        <f>SUM(0+D61)</f>
        <v>12.54</v>
      </c>
      <c r="B61" s="19" t="s">
        <v>89</v>
      </c>
      <c r="C61" s="20" t="s">
        <v>7</v>
      </c>
      <c r="D61" s="21">
        <f>SUM(E61:AE61)</f>
        <v>12.54</v>
      </c>
      <c r="E61" s="23"/>
      <c r="F61" s="23"/>
      <c r="G61" s="22">
        <f>11*1.14</f>
        <v>12.54</v>
      </c>
      <c r="H61" s="22"/>
      <c r="I61" s="2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62"/>
      <c r="AG61" s="62"/>
      <c r="AH61" s="62"/>
      <c r="AI61" s="62"/>
      <c r="AJ61" s="62"/>
      <c r="AK61" s="62"/>
      <c r="AL61" s="62"/>
      <c r="AM61" s="62"/>
    </row>
    <row r="62" spans="1:39" s="24" customFormat="1" ht="8.25">
      <c r="A62" s="18">
        <f>SUM(0+D62)</f>
        <v>9.25</v>
      </c>
      <c r="B62" s="19" t="s">
        <v>298</v>
      </c>
      <c r="C62" s="20" t="s">
        <v>5</v>
      </c>
      <c r="D62" s="21">
        <f>SUM(E62:AE62)</f>
        <v>9.25</v>
      </c>
      <c r="E62" s="21"/>
      <c r="F62" s="21"/>
      <c r="G62" s="21"/>
      <c r="H62" s="21"/>
      <c r="I62" s="21"/>
      <c r="J62" s="22"/>
      <c r="K62" s="22"/>
      <c r="L62" s="22"/>
      <c r="M62" s="22"/>
      <c r="N62" s="22"/>
      <c r="O62" s="22"/>
      <c r="P62" s="22">
        <f>37*0.25</f>
        <v>9.25</v>
      </c>
      <c r="Q62" s="22"/>
      <c r="R62" s="21"/>
      <c r="S62" s="21"/>
      <c r="T62" s="21"/>
      <c r="U62" s="21"/>
      <c r="V62" s="21"/>
      <c r="W62" s="21"/>
      <c r="X62" s="21"/>
      <c r="Y62" s="22"/>
      <c r="Z62" s="22"/>
      <c r="AA62" s="22"/>
      <c r="AB62" s="22"/>
      <c r="AC62" s="22"/>
      <c r="AD62" s="22"/>
      <c r="AE62" s="22"/>
      <c r="AF62" s="62"/>
      <c r="AG62" s="62"/>
      <c r="AH62" s="62"/>
      <c r="AI62" s="62"/>
      <c r="AJ62" s="62"/>
      <c r="AK62" s="62"/>
      <c r="AL62" s="62"/>
      <c r="AM62" s="62"/>
    </row>
    <row r="63" spans="1:39" s="24" customFormat="1" ht="8.25">
      <c r="A63" s="18">
        <f>SUM(0+D63)</f>
        <v>9.12</v>
      </c>
      <c r="B63" s="19" t="s">
        <v>208</v>
      </c>
      <c r="C63" s="20" t="s">
        <v>7</v>
      </c>
      <c r="D63" s="21">
        <f>SUM(E63:AE63)</f>
        <v>9.12</v>
      </c>
      <c r="E63" s="23"/>
      <c r="F63" s="23"/>
      <c r="G63" s="22">
        <f>8*1.14</f>
        <v>9.12</v>
      </c>
      <c r="H63" s="22"/>
      <c r="I63" s="22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62"/>
      <c r="AG63" s="62"/>
      <c r="AH63" s="62"/>
      <c r="AI63" s="62"/>
      <c r="AJ63" s="62"/>
      <c r="AK63" s="62"/>
      <c r="AL63" s="62"/>
      <c r="AM63" s="62"/>
    </row>
    <row r="64" spans="1:39" s="24" customFormat="1" ht="8.25">
      <c r="A64" s="18">
        <f>SUM(0+D64)</f>
        <v>6.23</v>
      </c>
      <c r="B64" s="19" t="s">
        <v>265</v>
      </c>
      <c r="C64" s="20" t="s">
        <v>17</v>
      </c>
      <c r="D64" s="21">
        <f>SUM(E64:AE64)</f>
        <v>6.23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>
        <f>7*0.89</f>
        <v>6.23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62"/>
      <c r="AG64" s="62"/>
      <c r="AH64" s="62"/>
      <c r="AI64" s="62"/>
      <c r="AJ64" s="62"/>
      <c r="AK64" s="62"/>
      <c r="AL64" s="62"/>
      <c r="AM64" s="62"/>
    </row>
    <row r="65" spans="1:39" s="24" customFormat="1" ht="8.25">
      <c r="A65" s="18">
        <f>SUM(0+D65)</f>
        <v>5.72</v>
      </c>
      <c r="B65" s="19" t="s">
        <v>270</v>
      </c>
      <c r="C65" s="20" t="s">
        <v>17</v>
      </c>
      <c r="D65" s="21">
        <f>SUM(E65:AE65)</f>
        <v>5.72</v>
      </c>
      <c r="E65" s="22"/>
      <c r="F65" s="22"/>
      <c r="G65" s="22"/>
      <c r="H65" s="22"/>
      <c r="I65" s="22"/>
      <c r="J65" s="21"/>
      <c r="K65" s="21"/>
      <c r="L65" s="21"/>
      <c r="M65" s="21"/>
      <c r="N65" s="21"/>
      <c r="O65" s="21"/>
      <c r="P65" s="21"/>
      <c r="Q65" s="21"/>
      <c r="R65" s="21">
        <f>26*0.22</f>
        <v>5.72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63"/>
      <c r="AG65" s="63"/>
      <c r="AH65" s="63"/>
      <c r="AI65" s="63"/>
      <c r="AJ65" s="63"/>
      <c r="AK65" s="63"/>
      <c r="AL65" s="63"/>
      <c r="AM65" s="63"/>
    </row>
    <row r="66" spans="1:39" s="24" customFormat="1" ht="8.25">
      <c r="A66" s="18">
        <f>SUM(0+D66)</f>
        <v>5.3999999999999995</v>
      </c>
      <c r="B66" s="19" t="s">
        <v>292</v>
      </c>
      <c r="C66" s="20" t="s">
        <v>35</v>
      </c>
      <c r="D66" s="21">
        <f>SUM(E66:AE66)</f>
        <v>5.3999999999999995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>
        <f>9*0.6</f>
        <v>5.3999999999999995</v>
      </c>
      <c r="R66" s="21"/>
      <c r="S66" s="21"/>
      <c r="T66" s="21"/>
      <c r="U66" s="21"/>
      <c r="V66" s="21"/>
      <c r="W66" s="21"/>
      <c r="X66" s="21"/>
      <c r="Y66" s="22"/>
      <c r="Z66" s="22"/>
      <c r="AA66" s="22"/>
      <c r="AB66" s="22"/>
      <c r="AC66" s="22"/>
      <c r="AD66" s="22"/>
      <c r="AE66" s="22"/>
      <c r="AF66" s="62"/>
      <c r="AG66" s="62"/>
      <c r="AH66" s="62"/>
      <c r="AI66" s="62"/>
      <c r="AJ66" s="62"/>
      <c r="AK66" s="62"/>
      <c r="AL66" s="62"/>
      <c r="AM66" s="62"/>
    </row>
    <row r="67" spans="1:39" s="24" customFormat="1" ht="8.25">
      <c r="A67" s="18">
        <f>SUM(0+D67)</f>
        <v>4.18</v>
      </c>
      <c r="B67" s="19" t="s">
        <v>197</v>
      </c>
      <c r="C67" s="20" t="s">
        <v>35</v>
      </c>
      <c r="D67" s="21">
        <f>SUM(E67:AE67)</f>
        <v>4.18</v>
      </c>
      <c r="E67" s="22"/>
      <c r="F67" s="22"/>
      <c r="G67" s="22"/>
      <c r="H67" s="22"/>
      <c r="I67" s="22"/>
      <c r="J67" s="21"/>
      <c r="K67" s="21"/>
      <c r="L67" s="21"/>
      <c r="M67" s="21"/>
      <c r="N67" s="21">
        <f>11*0.38</f>
        <v>4.18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62"/>
      <c r="AG67" s="62"/>
      <c r="AH67" s="62"/>
      <c r="AI67" s="62"/>
      <c r="AJ67" s="62"/>
      <c r="AK67" s="62"/>
      <c r="AL67" s="62"/>
      <c r="AM67" s="62"/>
    </row>
    <row r="68" spans="1:39" ht="8.25">
      <c r="A68" s="18">
        <f>SUM(0+D68)</f>
        <v>2.16</v>
      </c>
      <c r="B68" s="19" t="s">
        <v>225</v>
      </c>
      <c r="C68" s="20" t="s">
        <v>17</v>
      </c>
      <c r="D68" s="21">
        <f>SUM(E68:AE68)</f>
        <v>2.16</v>
      </c>
      <c r="E68" s="23"/>
      <c r="F68" s="23"/>
      <c r="G68" s="21"/>
      <c r="H68" s="21">
        <f>8*0.27</f>
        <v>2.16</v>
      </c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63"/>
      <c r="AG68" s="63"/>
      <c r="AH68" s="63"/>
      <c r="AI68" s="63"/>
      <c r="AJ68" s="63"/>
      <c r="AK68" s="63"/>
      <c r="AL68" s="63"/>
      <c r="AM68" s="63"/>
    </row>
    <row r="69" spans="2:39" ht="8.25">
      <c r="B69" s="24"/>
      <c r="C69" s="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ht="8.25">
      <c r="B70" s="24"/>
      <c r="C70" s="5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ht="8.25">
      <c r="B71" s="24"/>
      <c r="C71" s="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ht="8.25">
      <c r="B72" s="24"/>
      <c r="C72" s="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ht="8.25">
      <c r="B73" s="24"/>
      <c r="C73" s="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2:39" ht="8.25">
      <c r="B74" s="24"/>
      <c r="C74" s="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2:39" ht="8.25">
      <c r="B75" s="24"/>
      <c r="C75" s="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2:39" ht="8.25">
      <c r="B76" s="24"/>
      <c r="C76" s="5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2:39" ht="8.25">
      <c r="B77" s="24"/>
      <c r="C77" s="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2:39" ht="8.25">
      <c r="B78" s="24"/>
      <c r="C78" s="5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2:39" ht="8.25">
      <c r="B79" s="24"/>
      <c r="C79" s="5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2:39" ht="8.25">
      <c r="B80" s="24"/>
      <c r="C80" s="5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</sheetData>
  <sheetProtection/>
  <autoFilter ref="A4:AM68"/>
  <printOptions/>
  <pageMargins left="0" right="0" top="0.6692913385826772" bottom="0.984251968503937" header="0" footer="0.5118110236220472"/>
  <pageSetup horizontalDpi="300" verticalDpi="300" orientation="landscape" paperSize="9" r:id="rId1"/>
  <headerFooter alignWithMargins="0">
    <oddHeader>&amp;CRANKING NACIONAL DAS RAÇAS PÔNEI
MELHOR CRIADOR/EXPOSITOR - 2007
RAÇA PÔNEI BRASILEIRO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8"/>
  <sheetViews>
    <sheetView zoomScale="108" zoomScaleNormal="108" zoomScalePageLayoutView="0" workbookViewId="0" topLeftCell="A1">
      <selection activeCell="D26" sqref="D26"/>
    </sheetView>
  </sheetViews>
  <sheetFormatPr defaultColWidth="9.140625" defaultRowHeight="12.75"/>
  <cols>
    <col min="1" max="1" width="5.421875" style="28" customWidth="1"/>
    <col min="2" max="2" width="20.140625" style="24" customWidth="1"/>
    <col min="3" max="3" width="3.8515625" style="5" customWidth="1"/>
    <col min="4" max="4" width="5.28125" style="24" customWidth="1"/>
    <col min="5" max="9" width="7.28125" style="24" customWidth="1"/>
    <col min="10" max="12" width="6.8515625" style="24" customWidth="1"/>
    <col min="13" max="30" width="6.7109375" style="24" customWidth="1"/>
    <col min="31" max="16384" width="9.140625" style="24" customWidth="1"/>
  </cols>
  <sheetData>
    <row r="1" spans="1:30" s="5" customFormat="1" ht="8.25">
      <c r="A1" s="1">
        <v>9999</v>
      </c>
      <c r="B1" s="54"/>
      <c r="C1" s="2" t="s">
        <v>4</v>
      </c>
      <c r="D1" s="3" t="s">
        <v>1</v>
      </c>
      <c r="E1" s="3" t="s">
        <v>0</v>
      </c>
      <c r="F1" s="3" t="s">
        <v>236</v>
      </c>
      <c r="G1" s="3" t="s">
        <v>111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  <c r="N1" s="3" t="s">
        <v>255</v>
      </c>
      <c r="O1" s="3" t="s">
        <v>178</v>
      </c>
      <c r="P1" s="3" t="s">
        <v>173</v>
      </c>
      <c r="Q1" s="3" t="s">
        <v>299</v>
      </c>
      <c r="R1" s="3" t="s">
        <v>269</v>
      </c>
      <c r="S1" s="2" t="s">
        <v>48</v>
      </c>
      <c r="T1" s="2" t="s">
        <v>276</v>
      </c>
      <c r="U1" s="2" t="s">
        <v>129</v>
      </c>
      <c r="V1" s="2" t="s">
        <v>131</v>
      </c>
      <c r="W1" s="2" t="s">
        <v>286</v>
      </c>
      <c r="X1" s="2" t="s">
        <v>135</v>
      </c>
      <c r="Y1" s="2" t="s">
        <v>114</v>
      </c>
      <c r="Z1" s="2"/>
      <c r="AA1" s="2"/>
      <c r="AB1" s="2"/>
      <c r="AC1" s="2"/>
      <c r="AD1" s="2"/>
    </row>
    <row r="2" spans="1:30" s="5" customFormat="1" ht="8.25">
      <c r="A2" s="1">
        <v>9998</v>
      </c>
      <c r="B2" s="56" t="s">
        <v>32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  <c r="N2" s="8" t="s">
        <v>256</v>
      </c>
      <c r="O2" s="8" t="s">
        <v>260</v>
      </c>
      <c r="P2" s="8" t="s">
        <v>296</v>
      </c>
      <c r="Q2" s="8" t="s">
        <v>300</v>
      </c>
      <c r="R2" s="8" t="s">
        <v>268</v>
      </c>
      <c r="S2" s="8" t="s">
        <v>271</v>
      </c>
      <c r="T2" s="8" t="s">
        <v>277</v>
      </c>
      <c r="U2" s="8" t="s">
        <v>294</v>
      </c>
      <c r="V2" s="8" t="s">
        <v>294</v>
      </c>
      <c r="W2" s="8" t="s">
        <v>287</v>
      </c>
      <c r="X2" s="8" t="s">
        <v>307</v>
      </c>
      <c r="Y2" s="8" t="s">
        <v>305</v>
      </c>
      <c r="Z2" s="8"/>
      <c r="AA2" s="8"/>
      <c r="AB2" s="8"/>
      <c r="AC2" s="8"/>
      <c r="AD2" s="8"/>
    </row>
    <row r="3" spans="1:30" s="13" customFormat="1" ht="8.25">
      <c r="A3" s="1">
        <v>9997</v>
      </c>
      <c r="B3" s="55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  <c r="N3" s="11">
        <v>0.38</v>
      </c>
      <c r="O3" s="11">
        <v>0.89</v>
      </c>
      <c r="P3" s="11">
        <v>0.25</v>
      </c>
      <c r="Q3" s="11">
        <v>0.6</v>
      </c>
      <c r="R3" s="11">
        <v>0.22</v>
      </c>
      <c r="S3" s="12">
        <v>0.2</v>
      </c>
      <c r="T3" s="40" t="s">
        <v>278</v>
      </c>
      <c r="U3" s="40" t="s">
        <v>293</v>
      </c>
      <c r="V3" s="40" t="s">
        <v>309</v>
      </c>
      <c r="W3" s="40" t="s">
        <v>288</v>
      </c>
      <c r="X3" s="40" t="s">
        <v>308</v>
      </c>
      <c r="Y3" s="40" t="s">
        <v>306</v>
      </c>
      <c r="Z3" s="40"/>
      <c r="AA3" s="40"/>
      <c r="AB3" s="40"/>
      <c r="AC3" s="40"/>
      <c r="AD3" s="40"/>
    </row>
    <row r="4" spans="1:30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43"/>
    </row>
    <row r="5" spans="1:30" ht="8.25">
      <c r="A5" s="18">
        <f>SUM(0+D5)</f>
        <v>2283.83</v>
      </c>
      <c r="B5" s="19" t="s">
        <v>87</v>
      </c>
      <c r="C5" s="20" t="s">
        <v>7</v>
      </c>
      <c r="D5" s="25">
        <v>2283.83</v>
      </c>
      <c r="E5" s="57">
        <f>294*2.07</f>
        <v>608.5799999999999</v>
      </c>
      <c r="F5" s="23"/>
      <c r="G5" s="57">
        <f>300*1.14</f>
        <v>341.99999999999994</v>
      </c>
      <c r="H5" s="23"/>
      <c r="I5" s="23">
        <f>8*0.96</f>
        <v>7.68</v>
      </c>
      <c r="J5" s="57">
        <f>385*1.1</f>
        <v>423.50000000000006</v>
      </c>
      <c r="K5" s="23"/>
      <c r="L5" s="23"/>
      <c r="M5" s="57">
        <v>362</v>
      </c>
      <c r="N5" s="23"/>
      <c r="O5" s="23"/>
      <c r="P5" s="23"/>
      <c r="Q5" s="23"/>
      <c r="R5" s="23"/>
      <c r="S5" s="25"/>
      <c r="T5" s="25"/>
      <c r="U5" s="23"/>
      <c r="V5" s="23">
        <f>9*0.91</f>
        <v>8.19</v>
      </c>
      <c r="W5" s="58">
        <f>313*1.75</f>
        <v>547.75</v>
      </c>
      <c r="X5" s="25"/>
      <c r="Y5" s="25">
        <f>9*1.08</f>
        <v>9.72</v>
      </c>
      <c r="Z5" s="25"/>
      <c r="AA5" s="25"/>
      <c r="AB5" s="25"/>
      <c r="AC5" s="25"/>
      <c r="AD5" s="25"/>
    </row>
    <row r="6" spans="1:30" ht="8.25">
      <c r="A6" s="18">
        <f>SUM(0+D6)</f>
        <v>1669.45</v>
      </c>
      <c r="B6" s="19" t="s">
        <v>23</v>
      </c>
      <c r="C6" s="20" t="s">
        <v>24</v>
      </c>
      <c r="D6" s="25">
        <v>1669.45</v>
      </c>
      <c r="E6" s="23"/>
      <c r="F6" s="23"/>
      <c r="G6" s="23"/>
      <c r="H6" s="23"/>
      <c r="I6" s="57">
        <f>414*0.96</f>
        <v>397.44</v>
      </c>
      <c r="J6" s="23"/>
      <c r="K6" s="23"/>
      <c r="L6" s="23"/>
      <c r="M6" s="23"/>
      <c r="N6" s="23"/>
      <c r="O6" s="23"/>
      <c r="P6" s="23"/>
      <c r="Q6" s="23"/>
      <c r="R6" s="23"/>
      <c r="S6" s="25"/>
      <c r="T6" s="58">
        <f>325*1.2</f>
        <v>390</v>
      </c>
      <c r="U6" s="25"/>
      <c r="V6" s="25">
        <f>366*0.91</f>
        <v>333.06</v>
      </c>
      <c r="W6" s="58">
        <f>259*1.75</f>
        <v>453.25</v>
      </c>
      <c r="X6" s="25"/>
      <c r="Y6" s="58">
        <f>397*1.08</f>
        <v>428.76000000000005</v>
      </c>
      <c r="Z6" s="25"/>
      <c r="AA6" s="25"/>
      <c r="AB6" s="25"/>
      <c r="AC6" s="25"/>
      <c r="AD6" s="25"/>
    </row>
    <row r="7" spans="1:30" ht="8.25">
      <c r="A7" s="18">
        <f>SUM(0+D7)</f>
        <v>1614.92</v>
      </c>
      <c r="B7" s="19" t="s">
        <v>194</v>
      </c>
      <c r="C7" s="20" t="s">
        <v>21</v>
      </c>
      <c r="D7" s="25">
        <v>1614.92</v>
      </c>
      <c r="E7" s="57">
        <f>234*2.07</f>
        <v>484.37999999999994</v>
      </c>
      <c r="F7" s="23"/>
      <c r="G7" s="23">
        <f>190*1.14</f>
        <v>216.6</v>
      </c>
      <c r="H7" s="23"/>
      <c r="I7" s="23">
        <f>160*0.96</f>
        <v>153.6</v>
      </c>
      <c r="J7" s="23"/>
      <c r="K7" s="57">
        <f>448*0.65</f>
        <v>291.2</v>
      </c>
      <c r="L7" s="23"/>
      <c r="M7" s="23"/>
      <c r="N7" s="23"/>
      <c r="O7" s="23"/>
      <c r="P7" s="23"/>
      <c r="Q7" s="23">
        <f>228*0.6</f>
        <v>136.79999999999998</v>
      </c>
      <c r="R7" s="23"/>
      <c r="S7" s="25"/>
      <c r="T7" s="58">
        <f>219*1.2</f>
        <v>262.8</v>
      </c>
      <c r="U7" s="25"/>
      <c r="V7" s="25">
        <f>227*0.91</f>
        <v>206.57</v>
      </c>
      <c r="W7" s="58">
        <f>198*1.75</f>
        <v>346.5</v>
      </c>
      <c r="X7" s="25">
        <f>320*0.48</f>
        <v>153.6</v>
      </c>
      <c r="Y7" s="58">
        <f>213*1.08</f>
        <v>230.04000000000002</v>
      </c>
      <c r="Z7" s="25"/>
      <c r="AA7" s="25"/>
      <c r="AB7" s="25"/>
      <c r="AC7" s="25"/>
      <c r="AD7" s="25"/>
    </row>
    <row r="8" spans="1:30" ht="8.25">
      <c r="A8" s="18">
        <f>SUM(0+D8)</f>
        <v>1573.06</v>
      </c>
      <c r="B8" s="19" t="s">
        <v>183</v>
      </c>
      <c r="C8" s="20" t="s">
        <v>7</v>
      </c>
      <c r="D8" s="25">
        <v>1573.06</v>
      </c>
      <c r="E8" s="57">
        <f>233*2.07</f>
        <v>482.30999999999995</v>
      </c>
      <c r="F8" s="23"/>
      <c r="G8" s="57">
        <f>220*1.14</f>
        <v>250.79999999999998</v>
      </c>
      <c r="H8" s="23"/>
      <c r="I8" s="23">
        <f>26*0.96</f>
        <v>24.96</v>
      </c>
      <c r="J8" s="57">
        <f>227*1.1</f>
        <v>249.70000000000002</v>
      </c>
      <c r="K8" s="23"/>
      <c r="L8" s="23"/>
      <c r="M8" s="57">
        <v>242</v>
      </c>
      <c r="N8" s="23"/>
      <c r="O8" s="23"/>
      <c r="P8" s="23"/>
      <c r="Q8" s="23"/>
      <c r="R8" s="23"/>
      <c r="S8" s="25"/>
      <c r="T8" s="25"/>
      <c r="U8" s="25"/>
      <c r="V8" s="25">
        <f>7*0.91</f>
        <v>6.37</v>
      </c>
      <c r="W8" s="58">
        <f>199*1.75</f>
        <v>348.25</v>
      </c>
      <c r="X8" s="25"/>
      <c r="Y8" s="25"/>
      <c r="Z8" s="25"/>
      <c r="AA8" s="25"/>
      <c r="AB8" s="25"/>
      <c r="AC8" s="25"/>
      <c r="AD8" s="25"/>
    </row>
    <row r="9" spans="1:30" ht="8.25">
      <c r="A9" s="18">
        <f>SUM(0+D9)</f>
        <v>982.62</v>
      </c>
      <c r="B9" s="19" t="s">
        <v>180</v>
      </c>
      <c r="C9" s="20" t="s">
        <v>21</v>
      </c>
      <c r="D9" s="25">
        <v>982.62</v>
      </c>
      <c r="E9" s="57">
        <f>68*2.07</f>
        <v>140.76</v>
      </c>
      <c r="F9" s="23"/>
      <c r="G9" s="23"/>
      <c r="H9" s="23"/>
      <c r="I9" s="57">
        <f>228*0.96</f>
        <v>218.88</v>
      </c>
      <c r="J9" s="23"/>
      <c r="K9" s="23"/>
      <c r="L9" s="23"/>
      <c r="M9" s="23"/>
      <c r="N9" s="23"/>
      <c r="O9" s="23"/>
      <c r="P9" s="23"/>
      <c r="Q9" s="23"/>
      <c r="R9" s="23"/>
      <c r="S9" s="25"/>
      <c r="T9" s="58">
        <f>199*1.2</f>
        <v>238.79999999999998</v>
      </c>
      <c r="U9" s="25"/>
      <c r="V9" s="25">
        <f>162*0.91</f>
        <v>147.42000000000002</v>
      </c>
      <c r="W9" s="58">
        <f>114*1.75</f>
        <v>199.5</v>
      </c>
      <c r="X9" s="25">
        <f>9*0.48</f>
        <v>4.32</v>
      </c>
      <c r="Y9" s="58">
        <f>171*1.08</f>
        <v>184.68</v>
      </c>
      <c r="Z9" s="25"/>
      <c r="AA9" s="25"/>
      <c r="AB9" s="25"/>
      <c r="AC9" s="25"/>
      <c r="AD9" s="25"/>
    </row>
    <row r="10" spans="1:30" ht="8.25">
      <c r="A10" s="18"/>
      <c r="B10" s="20" t="s">
        <v>33</v>
      </c>
      <c r="C10" s="20"/>
      <c r="D10" s="25"/>
      <c r="E10" s="57"/>
      <c r="F10" s="23"/>
      <c r="G10" s="23"/>
      <c r="H10" s="23"/>
      <c r="I10" s="57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58"/>
      <c r="U10" s="25"/>
      <c r="V10" s="25"/>
      <c r="W10" s="58"/>
      <c r="X10" s="25"/>
      <c r="Y10" s="58"/>
      <c r="Z10" s="25"/>
      <c r="AA10" s="25"/>
      <c r="AB10" s="25"/>
      <c r="AC10" s="25"/>
      <c r="AD10" s="25"/>
    </row>
    <row r="11" spans="1:30" ht="8.25">
      <c r="A11" s="18">
        <f>SUM(0+D11)</f>
        <v>881.3</v>
      </c>
      <c r="B11" s="19" t="s">
        <v>38</v>
      </c>
      <c r="C11" s="20" t="s">
        <v>37</v>
      </c>
      <c r="D11" s="25">
        <v>881.3</v>
      </c>
      <c r="E11" s="57">
        <f>128*2.07</f>
        <v>264.96</v>
      </c>
      <c r="F11" s="23">
        <f>33*0.16</f>
        <v>5.28</v>
      </c>
      <c r="G11" s="23"/>
      <c r="H11" s="23"/>
      <c r="I11" s="23"/>
      <c r="J11" s="57">
        <f>176*1.1</f>
        <v>193.60000000000002</v>
      </c>
      <c r="K11" s="23"/>
      <c r="L11" s="57">
        <f>410*0.44</f>
        <v>180.4</v>
      </c>
      <c r="M11" s="57">
        <v>226</v>
      </c>
      <c r="N11" s="57">
        <f>43*0.38</f>
        <v>16.34</v>
      </c>
      <c r="O11" s="23"/>
      <c r="P11" s="23">
        <f>33*0.25</f>
        <v>8.25</v>
      </c>
      <c r="Q11" s="23"/>
      <c r="R11" s="23"/>
      <c r="S11" s="25"/>
      <c r="T11" s="25"/>
      <c r="U11" s="25"/>
      <c r="V11" s="25"/>
      <c r="W11" s="25"/>
      <c r="X11" s="25">
        <f>26*0.48</f>
        <v>12.48</v>
      </c>
      <c r="Y11" s="25"/>
      <c r="Z11" s="25"/>
      <c r="AA11" s="25"/>
      <c r="AB11" s="25"/>
      <c r="AC11" s="25"/>
      <c r="AD11" s="25"/>
    </row>
    <row r="12" spans="1:30" ht="8.25">
      <c r="A12" s="18">
        <f>SUM(0+D12)</f>
        <v>784.73</v>
      </c>
      <c r="B12" s="19" t="s">
        <v>195</v>
      </c>
      <c r="C12" s="20" t="s">
        <v>21</v>
      </c>
      <c r="D12" s="25">
        <v>784.73</v>
      </c>
      <c r="E12" s="57">
        <f>40*2.07</f>
        <v>82.8</v>
      </c>
      <c r="F12" s="23">
        <f>51*0.16</f>
        <v>8.16</v>
      </c>
      <c r="G12" s="23">
        <f>69*1.14</f>
        <v>78.66</v>
      </c>
      <c r="H12" s="23"/>
      <c r="I12" s="23">
        <f>92*0.96</f>
        <v>88.32</v>
      </c>
      <c r="J12" s="23"/>
      <c r="K12" s="57">
        <f>200*0.65</f>
        <v>130</v>
      </c>
      <c r="L12" s="23"/>
      <c r="M12" s="23"/>
      <c r="N12" s="23">
        <f>30*0.38</f>
        <v>11.4</v>
      </c>
      <c r="O12" s="23"/>
      <c r="P12" s="23">
        <f>30*0.25</f>
        <v>7.5</v>
      </c>
      <c r="Q12" s="23">
        <f>101*0.6</f>
        <v>60.599999999999994</v>
      </c>
      <c r="R12" s="23"/>
      <c r="S12" s="25"/>
      <c r="T12" s="58">
        <f>115*1.2</f>
        <v>138</v>
      </c>
      <c r="U12" s="25"/>
      <c r="V12" s="25">
        <f>139*0.91</f>
        <v>126.49000000000001</v>
      </c>
      <c r="W12" s="58">
        <f>127*1.75</f>
        <v>222.25</v>
      </c>
      <c r="X12" s="25">
        <f>58*0.48</f>
        <v>27.84</v>
      </c>
      <c r="Y12" s="58">
        <f>196*1.08</f>
        <v>211.68</v>
      </c>
      <c r="Z12" s="25"/>
      <c r="AA12" s="25"/>
      <c r="AB12" s="25"/>
      <c r="AC12" s="25"/>
      <c r="AD12" s="25"/>
    </row>
    <row r="13" spans="1:30" ht="8.25">
      <c r="A13" s="18">
        <f>SUM(0+D13)</f>
        <v>705.78</v>
      </c>
      <c r="B13" s="19" t="s">
        <v>229</v>
      </c>
      <c r="C13" s="20" t="s">
        <v>24</v>
      </c>
      <c r="D13" s="25">
        <v>705.78</v>
      </c>
      <c r="E13" s="25"/>
      <c r="F13" s="23"/>
      <c r="G13" s="25"/>
      <c r="H13" s="23"/>
      <c r="I13" s="23">
        <f>91*0.96</f>
        <v>87.36</v>
      </c>
      <c r="J13" s="25"/>
      <c r="K13" s="23"/>
      <c r="L13" s="23"/>
      <c r="M13" s="25"/>
      <c r="N13" s="23"/>
      <c r="O13" s="23"/>
      <c r="P13" s="23"/>
      <c r="Q13" s="23"/>
      <c r="R13" s="23"/>
      <c r="S13" s="25"/>
      <c r="T13" s="58">
        <f>196*1.2</f>
        <v>235.2</v>
      </c>
      <c r="U13" s="25"/>
      <c r="V13" s="58">
        <f>172*0.91</f>
        <v>156.52</v>
      </c>
      <c r="W13" s="58">
        <f>98*1.75</f>
        <v>171.5</v>
      </c>
      <c r="X13" s="25"/>
      <c r="Y13" s="58">
        <f>132*1.08</f>
        <v>142.56</v>
      </c>
      <c r="Z13" s="25"/>
      <c r="AA13" s="25"/>
      <c r="AB13" s="25"/>
      <c r="AC13" s="25"/>
      <c r="AD13" s="25"/>
    </row>
    <row r="14" spans="1:30" ht="8.25">
      <c r="A14" s="18">
        <f>SUM(0+D14)</f>
        <v>675.84</v>
      </c>
      <c r="B14" s="19" t="s">
        <v>203</v>
      </c>
      <c r="C14" s="20" t="s">
        <v>14</v>
      </c>
      <c r="D14" s="25">
        <v>675.84</v>
      </c>
      <c r="E14" s="23"/>
      <c r="F14" s="23"/>
      <c r="G14" s="23">
        <f>236*1.14</f>
        <v>269.03999999999996</v>
      </c>
      <c r="H14" s="23"/>
      <c r="I14" s="23"/>
      <c r="J14" s="23">
        <f>208*1.1</f>
        <v>228.8</v>
      </c>
      <c r="K14" s="23"/>
      <c r="L14" s="23"/>
      <c r="M14" s="23">
        <v>178</v>
      </c>
      <c r="N14" s="23"/>
      <c r="O14" s="23"/>
      <c r="P14" s="23"/>
      <c r="Q14" s="23"/>
      <c r="R14" s="23"/>
      <c r="S14" s="25"/>
      <c r="T14" s="25"/>
      <c r="U14" s="23"/>
      <c r="V14" s="23"/>
      <c r="W14" s="25"/>
      <c r="X14" s="25"/>
      <c r="Y14" s="25"/>
      <c r="Z14" s="25"/>
      <c r="AA14" s="25"/>
      <c r="AB14" s="25"/>
      <c r="AC14" s="25"/>
      <c r="AD14" s="25"/>
    </row>
    <row r="15" spans="1:30" ht="8.25">
      <c r="A15" s="18">
        <f>SUM(0+D15)</f>
        <v>556.26</v>
      </c>
      <c r="B15" s="19" t="s">
        <v>49</v>
      </c>
      <c r="C15" s="20" t="s">
        <v>35</v>
      </c>
      <c r="D15" s="25">
        <v>556.26</v>
      </c>
      <c r="E15" s="57">
        <f>76*2.07</f>
        <v>157.32</v>
      </c>
      <c r="F15" s="23"/>
      <c r="G15" s="23"/>
      <c r="H15" s="23"/>
      <c r="I15" s="23"/>
      <c r="J15" s="23"/>
      <c r="K15" s="23"/>
      <c r="L15" s="23"/>
      <c r="M15" s="23"/>
      <c r="N15" s="23">
        <f>9*0.38</f>
        <v>3.42</v>
      </c>
      <c r="O15" s="23"/>
      <c r="P15" s="23"/>
      <c r="Q15" s="57">
        <f>264*0.6</f>
        <v>158.4</v>
      </c>
      <c r="R15" s="23"/>
      <c r="S15" s="25"/>
      <c r="T15" s="25"/>
      <c r="U15" s="58">
        <f>206*0.13</f>
        <v>26.78</v>
      </c>
      <c r="V15" s="25"/>
      <c r="W15" s="58">
        <f>112*1.75</f>
        <v>196</v>
      </c>
      <c r="X15" s="58">
        <f>37*0.48</f>
        <v>17.759999999999998</v>
      </c>
      <c r="Y15" s="25"/>
      <c r="Z15" s="25"/>
      <c r="AA15" s="25"/>
      <c r="AB15" s="25"/>
      <c r="AC15" s="25"/>
      <c r="AD15" s="25"/>
    </row>
    <row r="16" spans="1:30" ht="8.25">
      <c r="A16" s="18"/>
      <c r="B16" s="20" t="s">
        <v>34</v>
      </c>
      <c r="C16" s="20"/>
      <c r="D16" s="25"/>
      <c r="E16" s="5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7"/>
      <c r="R16" s="23"/>
      <c r="S16" s="25"/>
      <c r="T16" s="25"/>
      <c r="U16" s="58"/>
      <c r="V16" s="25"/>
      <c r="W16" s="58"/>
      <c r="X16" s="58"/>
      <c r="Y16" s="25"/>
      <c r="Z16" s="25"/>
      <c r="AA16" s="25"/>
      <c r="AB16" s="25"/>
      <c r="AC16" s="25"/>
      <c r="AD16" s="25"/>
    </row>
    <row r="17" spans="1:30" ht="8.25">
      <c r="A17" s="18">
        <f>SUM(0+D17)</f>
        <v>518.27</v>
      </c>
      <c r="B17" s="19" t="s">
        <v>177</v>
      </c>
      <c r="C17" s="20" t="s">
        <v>24</v>
      </c>
      <c r="D17" s="25">
        <v>518.27</v>
      </c>
      <c r="E17" s="25"/>
      <c r="F17" s="23"/>
      <c r="G17" s="25"/>
      <c r="H17" s="23"/>
      <c r="I17" s="23">
        <f>122*0.96</f>
        <v>117.11999999999999</v>
      </c>
      <c r="J17" s="25"/>
      <c r="K17" s="23"/>
      <c r="L17" s="23"/>
      <c r="M17" s="25"/>
      <c r="N17" s="23"/>
      <c r="O17" s="23"/>
      <c r="P17" s="23"/>
      <c r="Q17" s="23"/>
      <c r="R17" s="23"/>
      <c r="S17" s="25"/>
      <c r="T17" s="25">
        <f>194*1.2</f>
        <v>232.79999999999998</v>
      </c>
      <c r="U17" s="25"/>
      <c r="V17" s="25">
        <f>135*0.91</f>
        <v>122.85000000000001</v>
      </c>
      <c r="W17" s="25">
        <f>26*1.75</f>
        <v>45.5</v>
      </c>
      <c r="X17" s="25"/>
      <c r="Y17" s="25"/>
      <c r="Z17" s="25"/>
      <c r="AA17" s="25"/>
      <c r="AB17" s="25"/>
      <c r="AC17" s="25"/>
      <c r="AD17" s="25"/>
    </row>
    <row r="18" spans="1:30" ht="8.25">
      <c r="A18" s="18">
        <f>SUM(0+D18)</f>
        <v>503.05</v>
      </c>
      <c r="B18" s="19" t="s">
        <v>181</v>
      </c>
      <c r="C18" s="20" t="s">
        <v>21</v>
      </c>
      <c r="D18" s="25">
        <v>503.05</v>
      </c>
      <c r="E18" s="57">
        <f>57*2.07</f>
        <v>117.99</v>
      </c>
      <c r="F18" s="23"/>
      <c r="G18" s="23">
        <f>34*1.14</f>
        <v>38.76</v>
      </c>
      <c r="H18" s="23"/>
      <c r="I18" s="57">
        <f>105*0.96</f>
        <v>100.8</v>
      </c>
      <c r="J18" s="23"/>
      <c r="K18" s="23">
        <f>42*0.65</f>
        <v>27.3</v>
      </c>
      <c r="L18" s="23"/>
      <c r="M18" s="23"/>
      <c r="N18" s="23"/>
      <c r="O18" s="23"/>
      <c r="P18" s="23"/>
      <c r="Q18" s="57">
        <f>82*0.6</f>
        <v>49.199999999999996</v>
      </c>
      <c r="R18" s="23"/>
      <c r="S18" s="25"/>
      <c r="T18" s="25"/>
      <c r="U18" s="25"/>
      <c r="V18" s="58">
        <f>91*0.91</f>
        <v>82.81</v>
      </c>
      <c r="W18" s="58">
        <f>87*1.75</f>
        <v>152.25</v>
      </c>
      <c r="X18" s="25">
        <f>77*0.48</f>
        <v>36.96</v>
      </c>
      <c r="Y18" s="25">
        <f>51*1.08</f>
        <v>55.080000000000005</v>
      </c>
      <c r="Z18" s="25"/>
      <c r="AA18" s="25"/>
      <c r="AB18" s="25"/>
      <c r="AC18" s="25"/>
      <c r="AD18" s="25"/>
    </row>
    <row r="19" spans="1:30" ht="8.25">
      <c r="A19" s="26">
        <f>SUM(0+D19)</f>
        <v>453.41</v>
      </c>
      <c r="B19" s="19" t="s">
        <v>3</v>
      </c>
      <c r="C19" s="20" t="s">
        <v>7</v>
      </c>
      <c r="D19" s="25">
        <v>453.41</v>
      </c>
      <c r="E19" s="23">
        <f>119*2.07</f>
        <v>246.32999999999998</v>
      </c>
      <c r="F19" s="23">
        <f>71*0.16</f>
        <v>11.36</v>
      </c>
      <c r="G19" s="23">
        <f>144*1.14</f>
        <v>164.16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5"/>
      <c r="V19" s="25"/>
      <c r="W19" s="25">
        <f>12*1.75</f>
        <v>21</v>
      </c>
      <c r="X19" s="25">
        <f>22*0.48</f>
        <v>10.559999999999999</v>
      </c>
      <c r="Y19" s="25"/>
      <c r="Z19" s="25"/>
      <c r="AA19" s="25"/>
      <c r="AB19" s="25"/>
      <c r="AC19" s="25"/>
      <c r="AD19" s="25"/>
    </row>
    <row r="20" spans="1:30" ht="8.25">
      <c r="A20" s="18">
        <f>SUM(0+D20)</f>
        <v>437.1</v>
      </c>
      <c r="B20" s="19" t="s">
        <v>152</v>
      </c>
      <c r="C20" s="20" t="s">
        <v>37</v>
      </c>
      <c r="D20" s="25">
        <v>437.1</v>
      </c>
      <c r="E20" s="23">
        <f>20*2.07</f>
        <v>41.4</v>
      </c>
      <c r="F20" s="23"/>
      <c r="G20" s="23"/>
      <c r="H20" s="23"/>
      <c r="I20" s="23"/>
      <c r="J20" s="23">
        <f>119*1.1</f>
        <v>130.9</v>
      </c>
      <c r="K20" s="23"/>
      <c r="L20" s="23">
        <f>245*0.44</f>
        <v>107.8</v>
      </c>
      <c r="M20" s="25">
        <v>157</v>
      </c>
      <c r="N20" s="23"/>
      <c r="O20" s="23"/>
      <c r="P20" s="23"/>
      <c r="Q20" s="23"/>
      <c r="R20" s="23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8.25">
      <c r="A21" s="28">
        <f>SUM(0+D21)</f>
        <v>424.72</v>
      </c>
      <c r="B21" s="19" t="s">
        <v>18</v>
      </c>
      <c r="C21" s="20" t="s">
        <v>14</v>
      </c>
      <c r="D21" s="25">
        <v>424.72</v>
      </c>
      <c r="E21" s="23"/>
      <c r="F21" s="23">
        <f>58*0.16</f>
        <v>9.28</v>
      </c>
      <c r="G21" s="57">
        <f>192*1.14</f>
        <v>218.88</v>
      </c>
      <c r="H21" s="23"/>
      <c r="I21" s="23"/>
      <c r="J21" s="57">
        <f>84*1.1</f>
        <v>92.4</v>
      </c>
      <c r="K21" s="23"/>
      <c r="L21" s="23"/>
      <c r="M21" s="57">
        <v>67</v>
      </c>
      <c r="N21" s="23">
        <f>53*0.38</f>
        <v>20.14</v>
      </c>
      <c r="O21" s="23"/>
      <c r="P21" s="23">
        <f>58*0.25</f>
        <v>14.5</v>
      </c>
      <c r="Q21" s="23"/>
      <c r="R21" s="23"/>
      <c r="S21" s="25"/>
      <c r="T21" s="25"/>
      <c r="U21" s="25"/>
      <c r="V21" s="25"/>
      <c r="W21" s="25">
        <f>8*1.75</f>
        <v>14</v>
      </c>
      <c r="X21" s="25">
        <f>80*0.48</f>
        <v>38.4</v>
      </c>
      <c r="Y21" s="58">
        <f>43*1.08</f>
        <v>46.440000000000005</v>
      </c>
      <c r="Z21" s="25"/>
      <c r="AA21" s="25"/>
      <c r="AB21" s="25"/>
      <c r="AC21" s="25"/>
      <c r="AD21" s="25"/>
    </row>
    <row r="22" spans="2:30" ht="8.25">
      <c r="B22" s="19"/>
      <c r="C22" s="20"/>
      <c r="D22" s="25"/>
      <c r="E22" s="23"/>
      <c r="F22" s="23"/>
      <c r="G22" s="57"/>
      <c r="H22" s="23"/>
      <c r="I22" s="23"/>
      <c r="J22" s="57"/>
      <c r="K22" s="23"/>
      <c r="L22" s="23"/>
      <c r="M22" s="57"/>
      <c r="N22" s="23"/>
      <c r="O22" s="23"/>
      <c r="P22" s="23"/>
      <c r="Q22" s="23"/>
      <c r="R22" s="23"/>
      <c r="S22" s="25"/>
      <c r="T22" s="25"/>
      <c r="U22" s="25"/>
      <c r="V22" s="25"/>
      <c r="W22" s="25"/>
      <c r="X22" s="25"/>
      <c r="Y22" s="58"/>
      <c r="Z22" s="25"/>
      <c r="AA22" s="25"/>
      <c r="AB22" s="25"/>
      <c r="AC22" s="25"/>
      <c r="AD22" s="25"/>
    </row>
    <row r="23" spans="1:30" ht="8.25">
      <c r="A23" s="18">
        <f>SUM(0+D23)</f>
        <v>383.45</v>
      </c>
      <c r="B23" s="19" t="s">
        <v>134</v>
      </c>
      <c r="C23" s="20" t="s">
        <v>21</v>
      </c>
      <c r="D23" s="25">
        <v>383.45</v>
      </c>
      <c r="E23" s="25"/>
      <c r="F23" s="23"/>
      <c r="G23" s="25"/>
      <c r="H23" s="25"/>
      <c r="I23" s="23">
        <f>35*0.96</f>
        <v>33.6</v>
      </c>
      <c r="J23" s="25"/>
      <c r="K23" s="23">
        <f>61*0.65</f>
        <v>39.65</v>
      </c>
      <c r="L23" s="23"/>
      <c r="M23" s="25"/>
      <c r="N23" s="23"/>
      <c r="O23" s="23"/>
      <c r="P23" s="23"/>
      <c r="Q23" s="23"/>
      <c r="R23" s="23"/>
      <c r="S23" s="25"/>
      <c r="T23" s="58">
        <f>92*1.2</f>
        <v>110.39999999999999</v>
      </c>
      <c r="U23" s="25"/>
      <c r="V23" s="58">
        <f>84*0.91</f>
        <v>76.44</v>
      </c>
      <c r="W23" s="58">
        <f>71*1.75</f>
        <v>124.25</v>
      </c>
      <c r="X23" s="25"/>
      <c r="Y23" s="58">
        <f>67*1.08</f>
        <v>72.36</v>
      </c>
      <c r="Z23" s="25"/>
      <c r="AA23" s="25"/>
      <c r="AB23" s="25"/>
      <c r="AC23" s="25"/>
      <c r="AD23" s="25"/>
    </row>
    <row r="24" spans="1:30" ht="8.25">
      <c r="A24" s="18">
        <f>SUM(0+D24)</f>
        <v>354</v>
      </c>
      <c r="B24" s="19" t="s">
        <v>186</v>
      </c>
      <c r="C24" s="20" t="s">
        <v>7</v>
      </c>
      <c r="D24" s="25">
        <v>354</v>
      </c>
      <c r="E24" s="23">
        <f>122*2.07</f>
        <v>252.54</v>
      </c>
      <c r="F24" s="23"/>
      <c r="G24" s="23">
        <f>89*1.14</f>
        <v>101.46</v>
      </c>
      <c r="H24" s="23"/>
      <c r="I24" s="23"/>
      <c r="J24" s="23"/>
      <c r="K24" s="23"/>
      <c r="L24" s="23"/>
      <c r="M24" s="25"/>
      <c r="N24" s="23"/>
      <c r="O24" s="23"/>
      <c r="P24" s="23"/>
      <c r="Q24" s="23"/>
      <c r="R24" s="23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8.25">
      <c r="A25" s="18">
        <f>SUM(0+D25)</f>
        <v>353.73</v>
      </c>
      <c r="B25" s="19" t="s">
        <v>67</v>
      </c>
      <c r="C25" s="20" t="s">
        <v>17</v>
      </c>
      <c r="D25" s="25">
        <v>353.73</v>
      </c>
      <c r="E25" s="25"/>
      <c r="F25" s="23"/>
      <c r="G25" s="23"/>
      <c r="H25" s="23">
        <f>397*0.27</f>
        <v>107.19000000000001</v>
      </c>
      <c r="I25" s="23"/>
      <c r="J25" s="23"/>
      <c r="K25" s="23"/>
      <c r="L25" s="23"/>
      <c r="M25" s="25">
        <v>52</v>
      </c>
      <c r="N25" s="23"/>
      <c r="O25" s="23">
        <f>116*0.89</f>
        <v>103.24</v>
      </c>
      <c r="P25" s="23"/>
      <c r="Q25" s="23"/>
      <c r="R25" s="23">
        <f>415*0.22</f>
        <v>91.3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8.25">
      <c r="A26" s="18">
        <f>SUM(0+D26)</f>
        <v>328.51</v>
      </c>
      <c r="B26" s="19" t="s">
        <v>244</v>
      </c>
      <c r="C26" s="20" t="s">
        <v>14</v>
      </c>
      <c r="D26" s="25">
        <f>SUM(E26:AD26)</f>
        <v>328.51</v>
      </c>
      <c r="E26" s="25"/>
      <c r="F26" s="23"/>
      <c r="G26" s="25"/>
      <c r="H26" s="25"/>
      <c r="I26" s="25"/>
      <c r="J26" s="25"/>
      <c r="K26" s="23">
        <f>57*0.65</f>
        <v>37.050000000000004</v>
      </c>
      <c r="L26" s="23"/>
      <c r="M26" s="25"/>
      <c r="N26" s="23"/>
      <c r="O26" s="23"/>
      <c r="P26" s="23"/>
      <c r="Q26" s="23">
        <f>8*0.6</f>
        <v>4.8</v>
      </c>
      <c r="R26" s="23"/>
      <c r="S26" s="25"/>
      <c r="T26" s="25">
        <f>17*1.2</f>
        <v>20.4</v>
      </c>
      <c r="U26" s="25"/>
      <c r="V26" s="25">
        <f>52*0.91</f>
        <v>47.32</v>
      </c>
      <c r="W26" s="25">
        <f>78*1.75</f>
        <v>136.5</v>
      </c>
      <c r="X26" s="25">
        <f>21*0.48</f>
        <v>10.08</v>
      </c>
      <c r="Y26" s="25">
        <f>67*1.08</f>
        <v>72.36</v>
      </c>
      <c r="Z26" s="25"/>
      <c r="AA26" s="25"/>
      <c r="AB26" s="25"/>
      <c r="AC26" s="25"/>
      <c r="AD26" s="25"/>
    </row>
    <row r="27" spans="1:30" ht="8.25">
      <c r="A27" s="26">
        <f>SUM(0+D27)</f>
        <v>324.28999999999996</v>
      </c>
      <c r="B27" s="19" t="s">
        <v>79</v>
      </c>
      <c r="C27" s="20" t="s">
        <v>5</v>
      </c>
      <c r="D27" s="25">
        <f>SUM(E27:AD27)</f>
        <v>324.28999999999996</v>
      </c>
      <c r="E27" s="23">
        <f>69*2.07</f>
        <v>142.82999999999998</v>
      </c>
      <c r="F27" s="23">
        <f>26*0.16</f>
        <v>4.16</v>
      </c>
      <c r="G27" s="23"/>
      <c r="H27" s="23"/>
      <c r="I27" s="23"/>
      <c r="J27" s="23"/>
      <c r="K27" s="23"/>
      <c r="L27" s="23"/>
      <c r="M27" s="23"/>
      <c r="N27" s="23">
        <f>297*0.38</f>
        <v>112.86</v>
      </c>
      <c r="O27" s="23"/>
      <c r="P27" s="23"/>
      <c r="Q27" s="23">
        <f>25*0.6</f>
        <v>15</v>
      </c>
      <c r="R27" s="23"/>
      <c r="S27" s="25"/>
      <c r="T27" s="25"/>
      <c r="U27" s="25"/>
      <c r="V27" s="25"/>
      <c r="W27" s="25"/>
      <c r="X27" s="25">
        <f>103*0.48</f>
        <v>49.44</v>
      </c>
      <c r="Y27" s="25"/>
      <c r="Z27" s="25"/>
      <c r="AA27" s="25"/>
      <c r="AB27" s="25"/>
      <c r="AC27" s="25"/>
      <c r="AD27" s="25"/>
    </row>
    <row r="28" spans="1:30" ht="8.25">
      <c r="A28" s="18">
        <f>SUM(0+D28)</f>
        <v>323.19</v>
      </c>
      <c r="B28" s="19" t="s">
        <v>185</v>
      </c>
      <c r="C28" s="20" t="s">
        <v>37</v>
      </c>
      <c r="D28" s="25">
        <f>SUM(E28:AD28)</f>
        <v>323.19</v>
      </c>
      <c r="E28" s="23">
        <f>67*2.07</f>
        <v>138.69</v>
      </c>
      <c r="F28" s="23"/>
      <c r="G28" s="23"/>
      <c r="H28" s="23"/>
      <c r="I28" s="23"/>
      <c r="J28" s="23">
        <f>155*1.1</f>
        <v>170.5</v>
      </c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5"/>
      <c r="V28" s="25"/>
      <c r="W28" s="25">
        <f>8*1.75</f>
        <v>14</v>
      </c>
      <c r="X28" s="25"/>
      <c r="Y28" s="25"/>
      <c r="Z28" s="25"/>
      <c r="AA28" s="25"/>
      <c r="AB28" s="25"/>
      <c r="AC28" s="25"/>
      <c r="AD28" s="25"/>
    </row>
    <row r="29" spans="1:30" ht="8.25">
      <c r="A29" s="18">
        <f>SUM(0+D29)</f>
        <v>313.85</v>
      </c>
      <c r="B29" s="19" t="s">
        <v>165</v>
      </c>
      <c r="C29" s="20" t="s">
        <v>21</v>
      </c>
      <c r="D29" s="25">
        <f>SUM(E29:AD29)</f>
        <v>313.85</v>
      </c>
      <c r="E29" s="23">
        <f>13*2.07</f>
        <v>26.909999999999997</v>
      </c>
      <c r="F29" s="23"/>
      <c r="G29" s="23"/>
      <c r="H29" s="23"/>
      <c r="I29" s="23">
        <f>48*0.96</f>
        <v>46.08</v>
      </c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>
        <f>42*1.2</f>
        <v>50.4</v>
      </c>
      <c r="U29" s="25"/>
      <c r="V29" s="25">
        <f>33*0.91</f>
        <v>30.03</v>
      </c>
      <c r="W29" s="25">
        <f>17*1.75</f>
        <v>29.75</v>
      </c>
      <c r="X29" s="25"/>
      <c r="Y29" s="25">
        <f>121*1.08</f>
        <v>130.68</v>
      </c>
      <c r="Z29" s="25"/>
      <c r="AA29" s="25"/>
      <c r="AB29" s="25"/>
      <c r="AC29" s="25"/>
      <c r="AD29" s="25"/>
    </row>
    <row r="30" spans="1:30" ht="8.25">
      <c r="A30" s="18">
        <f>SUM(0+D30)</f>
        <v>289.29999999999995</v>
      </c>
      <c r="B30" s="19" t="s">
        <v>192</v>
      </c>
      <c r="C30" s="20" t="s">
        <v>21</v>
      </c>
      <c r="D30" s="25">
        <f>SUM(E30:AD30)</f>
        <v>289.29999999999995</v>
      </c>
      <c r="E30" s="23">
        <f>19*2.07</f>
        <v>39.33</v>
      </c>
      <c r="F30" s="23"/>
      <c r="G30" s="23">
        <f>7*1.14</f>
        <v>7.9799999999999995</v>
      </c>
      <c r="H30" s="23"/>
      <c r="I30" s="23">
        <f>37*0.96</f>
        <v>35.519999999999996</v>
      </c>
      <c r="J30" s="23"/>
      <c r="K30" s="23">
        <f>51*0.65</f>
        <v>33.15</v>
      </c>
      <c r="L30" s="23"/>
      <c r="M30" s="23"/>
      <c r="N30" s="23"/>
      <c r="O30" s="23"/>
      <c r="P30" s="23"/>
      <c r="Q30" s="23">
        <f>44*0.6</f>
        <v>26.4</v>
      </c>
      <c r="R30" s="23"/>
      <c r="S30" s="25"/>
      <c r="T30" s="25">
        <f>23*1.2</f>
        <v>27.599999999999998</v>
      </c>
      <c r="U30" s="25"/>
      <c r="V30" s="25">
        <f>42*0.91</f>
        <v>38.22</v>
      </c>
      <c r="W30" s="25">
        <f>34*1.75</f>
        <v>59.5</v>
      </c>
      <c r="X30" s="25">
        <f>9*0.48</f>
        <v>4.32</v>
      </c>
      <c r="Y30" s="25">
        <f>16*1.08</f>
        <v>17.28</v>
      </c>
      <c r="Z30" s="25"/>
      <c r="AA30" s="25"/>
      <c r="AB30" s="25"/>
      <c r="AC30" s="25"/>
      <c r="AD30" s="25"/>
    </row>
    <row r="31" spans="1:30" ht="8.25">
      <c r="A31" s="18">
        <f>SUM(0+D31)</f>
        <v>282.65999999999997</v>
      </c>
      <c r="B31" s="19" t="s">
        <v>141</v>
      </c>
      <c r="C31" s="20" t="s">
        <v>5</v>
      </c>
      <c r="D31" s="25">
        <f>SUM(E31:AD31)</f>
        <v>282.65999999999997</v>
      </c>
      <c r="E31" s="23">
        <f>29*2.07</f>
        <v>60.029999999999994</v>
      </c>
      <c r="F31" s="23">
        <f>68*0.16</f>
        <v>10.88</v>
      </c>
      <c r="G31" s="23"/>
      <c r="H31" s="23"/>
      <c r="I31" s="23"/>
      <c r="J31" s="23"/>
      <c r="K31" s="23"/>
      <c r="L31" s="23"/>
      <c r="M31" s="25"/>
      <c r="N31" s="23">
        <f>157*0.38</f>
        <v>59.660000000000004</v>
      </c>
      <c r="O31" s="23"/>
      <c r="P31" s="23">
        <f>321*0.25</f>
        <v>80.25</v>
      </c>
      <c r="Q31" s="23"/>
      <c r="R31" s="23"/>
      <c r="S31" s="25"/>
      <c r="T31" s="25"/>
      <c r="U31" s="25">
        <f>32*0.13</f>
        <v>4.16</v>
      </c>
      <c r="V31" s="25"/>
      <c r="W31" s="25"/>
      <c r="X31" s="25">
        <f>141*0.48</f>
        <v>67.67999999999999</v>
      </c>
      <c r="Y31" s="25"/>
      <c r="Z31" s="25"/>
      <c r="AA31" s="25"/>
      <c r="AB31" s="25"/>
      <c r="AC31" s="25"/>
      <c r="AD31" s="25"/>
    </row>
    <row r="32" spans="1:30" ht="8.25">
      <c r="A32" s="18">
        <f>SUM(0+D32)</f>
        <v>246.73999999999995</v>
      </c>
      <c r="B32" s="19" t="s">
        <v>13</v>
      </c>
      <c r="C32" s="20" t="s">
        <v>9</v>
      </c>
      <c r="D32" s="25">
        <f>SUM(E32:AD32)</f>
        <v>246.73999999999995</v>
      </c>
      <c r="E32" s="23">
        <f>99*2.07</f>
        <v>204.92999999999998</v>
      </c>
      <c r="F32" s="23">
        <f>70*0.16</f>
        <v>11.200000000000001</v>
      </c>
      <c r="G32" s="23"/>
      <c r="H32" s="23"/>
      <c r="I32" s="23"/>
      <c r="J32" s="23"/>
      <c r="K32" s="23"/>
      <c r="L32" s="23"/>
      <c r="M32" s="23"/>
      <c r="N32" s="23">
        <f>26*0.38</f>
        <v>9.88</v>
      </c>
      <c r="O32" s="23"/>
      <c r="P32" s="23">
        <f>33*0.25</f>
        <v>8.25</v>
      </c>
      <c r="Q32" s="23"/>
      <c r="R32" s="23"/>
      <c r="S32" s="25"/>
      <c r="T32" s="25"/>
      <c r="U32" s="25"/>
      <c r="V32" s="25"/>
      <c r="W32" s="25"/>
      <c r="X32" s="25">
        <f>26*0.48</f>
        <v>12.48</v>
      </c>
      <c r="Y32" s="25"/>
      <c r="Z32" s="25"/>
      <c r="AA32" s="25"/>
      <c r="AB32" s="25"/>
      <c r="AC32" s="25"/>
      <c r="AD32" s="25"/>
    </row>
    <row r="33" spans="1:30" ht="8.25">
      <c r="A33" s="18">
        <f>SUM(0+D33)</f>
        <v>227.55</v>
      </c>
      <c r="B33" s="19" t="s">
        <v>196</v>
      </c>
      <c r="C33" s="20" t="s">
        <v>37</v>
      </c>
      <c r="D33" s="25">
        <f>SUM(E33:AD33)</f>
        <v>227.55</v>
      </c>
      <c r="E33" s="23">
        <f>33*2.07</f>
        <v>68.30999999999999</v>
      </c>
      <c r="F33" s="23"/>
      <c r="G33" s="23"/>
      <c r="H33" s="23"/>
      <c r="I33" s="23"/>
      <c r="J33" s="23">
        <f>24*1.1</f>
        <v>26.400000000000002</v>
      </c>
      <c r="K33" s="23"/>
      <c r="L33" s="23">
        <f>136*0.44</f>
        <v>59.84</v>
      </c>
      <c r="M33" s="25">
        <v>73</v>
      </c>
      <c r="N33" s="23"/>
      <c r="O33" s="23"/>
      <c r="P33" s="23"/>
      <c r="Q33" s="23"/>
      <c r="R33" s="2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8.25">
      <c r="A34" s="18">
        <f>SUM(0+D34)</f>
        <v>213.04999999999998</v>
      </c>
      <c r="B34" s="19" t="s">
        <v>188</v>
      </c>
      <c r="C34" s="20" t="s">
        <v>37</v>
      </c>
      <c r="D34" s="25">
        <f>SUM(E34:AD34)</f>
        <v>213.04999999999998</v>
      </c>
      <c r="E34" s="23">
        <f>57*2.07</f>
        <v>117.99</v>
      </c>
      <c r="F34" s="23"/>
      <c r="G34" s="23">
        <f>17*1.14</f>
        <v>19.38</v>
      </c>
      <c r="H34" s="23"/>
      <c r="I34" s="23"/>
      <c r="J34" s="23">
        <f>52*1.1</f>
        <v>57.2</v>
      </c>
      <c r="K34" s="23"/>
      <c r="L34" s="23">
        <f>42*0.44</f>
        <v>18.48</v>
      </c>
      <c r="M34" s="23"/>
      <c r="N34" s="23"/>
      <c r="O34" s="23"/>
      <c r="P34" s="23"/>
      <c r="Q34" s="23"/>
      <c r="R34" s="23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8.25">
      <c r="A35" s="18">
        <f>SUM(0+D35)</f>
        <v>203.82000000000002</v>
      </c>
      <c r="B35" s="19" t="s">
        <v>42</v>
      </c>
      <c r="C35" s="20" t="s">
        <v>17</v>
      </c>
      <c r="D35" s="25">
        <f>SUM(E35:AD35)</f>
        <v>203.82000000000002</v>
      </c>
      <c r="E35" s="23">
        <f>7*2.07</f>
        <v>14.489999999999998</v>
      </c>
      <c r="F35" s="23"/>
      <c r="G35" s="23"/>
      <c r="H35" s="23">
        <f>58*0.27</f>
        <v>15.66</v>
      </c>
      <c r="I35" s="23"/>
      <c r="J35" s="23"/>
      <c r="K35" s="23"/>
      <c r="L35" s="23"/>
      <c r="M35" s="23"/>
      <c r="N35" s="23"/>
      <c r="O35" s="23">
        <f>183*0.89</f>
        <v>162.87</v>
      </c>
      <c r="P35" s="23"/>
      <c r="Q35" s="23"/>
      <c r="R35" s="23"/>
      <c r="S35" s="25"/>
      <c r="T35" s="25">
        <f>9*1.2</f>
        <v>10.799999999999999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8.25">
      <c r="A36" s="18">
        <f>SUM(0+D36)</f>
        <v>195.8</v>
      </c>
      <c r="B36" s="19" t="s">
        <v>27</v>
      </c>
      <c r="C36" s="20" t="s">
        <v>17</v>
      </c>
      <c r="D36" s="25">
        <f>SUM(E36:AD36)</f>
        <v>195.8</v>
      </c>
      <c r="E36" s="25"/>
      <c r="F36" s="25"/>
      <c r="G36" s="25"/>
      <c r="H36" s="25"/>
      <c r="I36" s="25"/>
      <c r="J36" s="25"/>
      <c r="K36" s="25"/>
      <c r="L36" s="25"/>
      <c r="M36" s="25"/>
      <c r="N36" s="23"/>
      <c r="O36" s="23">
        <f>220*0.89</f>
        <v>195.8</v>
      </c>
      <c r="P36" s="23"/>
      <c r="Q36" s="23"/>
      <c r="R36" s="23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8.25">
      <c r="A37" s="18">
        <f>SUM(0+D37)</f>
        <v>190.46</v>
      </c>
      <c r="B37" s="19" t="s">
        <v>261</v>
      </c>
      <c r="C37" s="20" t="s">
        <v>17</v>
      </c>
      <c r="D37" s="25">
        <f>SUM(E37:AD37)</f>
        <v>190.46</v>
      </c>
      <c r="E37" s="23"/>
      <c r="F37" s="23"/>
      <c r="G37" s="23"/>
      <c r="H37" s="23"/>
      <c r="I37" s="23"/>
      <c r="J37" s="25"/>
      <c r="K37" s="25"/>
      <c r="L37" s="25"/>
      <c r="M37" s="25"/>
      <c r="N37" s="23"/>
      <c r="O37" s="23">
        <f>214*0.89</f>
        <v>190.46</v>
      </c>
      <c r="P37" s="23"/>
      <c r="Q37" s="23"/>
      <c r="R37" s="2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8.25">
      <c r="A38" s="18">
        <f>SUM(0+D38)</f>
        <v>172.64</v>
      </c>
      <c r="B38" s="19" t="s">
        <v>257</v>
      </c>
      <c r="C38" s="20" t="s">
        <v>35</v>
      </c>
      <c r="D38" s="25">
        <f>SUM(E38:AD38)</f>
        <v>172.64</v>
      </c>
      <c r="E38" s="25"/>
      <c r="F38" s="25"/>
      <c r="G38" s="25"/>
      <c r="H38" s="25"/>
      <c r="I38" s="25"/>
      <c r="J38" s="25"/>
      <c r="K38" s="25"/>
      <c r="L38" s="25"/>
      <c r="M38" s="25"/>
      <c r="N38" s="23">
        <f>198*0.38</f>
        <v>75.24</v>
      </c>
      <c r="O38" s="23"/>
      <c r="P38" s="23"/>
      <c r="Q38" s="23">
        <f>104*0.6</f>
        <v>62.4</v>
      </c>
      <c r="R38" s="23"/>
      <c r="S38" s="25"/>
      <c r="T38" s="25"/>
      <c r="U38" s="25"/>
      <c r="V38" s="25"/>
      <c r="W38" s="25">
        <f>20*1.75</f>
        <v>35</v>
      </c>
      <c r="X38" s="25"/>
      <c r="Y38" s="25"/>
      <c r="Z38" s="25"/>
      <c r="AA38" s="25"/>
      <c r="AB38" s="25"/>
      <c r="AC38" s="25"/>
      <c r="AD38" s="25"/>
    </row>
    <row r="39" spans="1:30" ht="8.25">
      <c r="A39" s="18">
        <f>SUM(0+D39)</f>
        <v>167.99999999999997</v>
      </c>
      <c r="B39" s="19" t="s">
        <v>39</v>
      </c>
      <c r="C39" s="20" t="s">
        <v>9</v>
      </c>
      <c r="D39" s="25">
        <f>SUM(E39:AD39)</f>
        <v>167.99999999999997</v>
      </c>
      <c r="E39" s="23">
        <f>74*2.07</f>
        <v>153.17999999999998</v>
      </c>
      <c r="F39" s="23"/>
      <c r="G39" s="23">
        <f>13*1.14</f>
        <v>14.819999999999999</v>
      </c>
      <c r="H39" s="23"/>
      <c r="I39" s="23"/>
      <c r="J39" s="23"/>
      <c r="K39" s="23"/>
      <c r="L39" s="23"/>
      <c r="M39" s="25"/>
      <c r="N39" s="23"/>
      <c r="O39" s="23"/>
      <c r="P39" s="23"/>
      <c r="Q39" s="23"/>
      <c r="R39" s="23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8.25">
      <c r="A40" s="18">
        <f>SUM(0+D40)</f>
        <v>158.55</v>
      </c>
      <c r="B40" s="19" t="s">
        <v>153</v>
      </c>
      <c r="C40" s="20" t="s">
        <v>37</v>
      </c>
      <c r="D40" s="25">
        <f>SUM(E40:AD40)</f>
        <v>158.55</v>
      </c>
      <c r="E40" s="23">
        <f>11*2.07</f>
        <v>22.77</v>
      </c>
      <c r="F40" s="23"/>
      <c r="G40" s="23"/>
      <c r="H40" s="23"/>
      <c r="I40" s="23"/>
      <c r="J40" s="23">
        <f>61*1.1</f>
        <v>67.10000000000001</v>
      </c>
      <c r="K40" s="23"/>
      <c r="L40" s="23">
        <f>72*0.44</f>
        <v>31.68</v>
      </c>
      <c r="M40" s="23">
        <v>37</v>
      </c>
      <c r="N40" s="23"/>
      <c r="O40" s="23"/>
      <c r="P40" s="23"/>
      <c r="Q40" s="23"/>
      <c r="R40" s="23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8.25">
      <c r="A41" s="18">
        <f>SUM(0+D41)</f>
        <v>157.10999999999999</v>
      </c>
      <c r="B41" s="19" t="s">
        <v>232</v>
      </c>
      <c r="C41" s="20" t="s">
        <v>21</v>
      </c>
      <c r="D41" s="25">
        <f>SUM(E41:AD41)</f>
        <v>157.10999999999999</v>
      </c>
      <c r="E41" s="23"/>
      <c r="F41" s="23"/>
      <c r="G41" s="23"/>
      <c r="H41" s="23"/>
      <c r="I41" s="23">
        <f>9*0.96</f>
        <v>8.64</v>
      </c>
      <c r="J41" s="25"/>
      <c r="K41" s="23"/>
      <c r="L41" s="23"/>
      <c r="M41" s="25"/>
      <c r="N41" s="23"/>
      <c r="O41" s="23"/>
      <c r="P41" s="23"/>
      <c r="Q41" s="23"/>
      <c r="R41" s="23"/>
      <c r="S41" s="25"/>
      <c r="T41" s="25">
        <f>44*1.2</f>
        <v>52.8</v>
      </c>
      <c r="U41" s="25"/>
      <c r="V41" s="25">
        <f>19*0.91</f>
        <v>17.29</v>
      </c>
      <c r="W41" s="25">
        <f>38*1.75</f>
        <v>66.5</v>
      </c>
      <c r="X41" s="25"/>
      <c r="Y41" s="25">
        <f>11*1.08</f>
        <v>11.88</v>
      </c>
      <c r="Z41" s="25"/>
      <c r="AA41" s="25"/>
      <c r="AB41" s="25"/>
      <c r="AC41" s="25"/>
      <c r="AD41" s="25"/>
    </row>
    <row r="42" spans="1:30" ht="8.25">
      <c r="A42" s="18">
        <f>SUM(0+D42)</f>
        <v>146.76</v>
      </c>
      <c r="B42" s="19" t="s">
        <v>164</v>
      </c>
      <c r="C42" s="20" t="s">
        <v>21</v>
      </c>
      <c r="D42" s="25">
        <f>SUM(E42:AD42)</f>
        <v>146.76</v>
      </c>
      <c r="E42" s="23">
        <f>8*2.07</f>
        <v>16.56</v>
      </c>
      <c r="F42" s="23"/>
      <c r="G42" s="23"/>
      <c r="H42" s="23"/>
      <c r="I42" s="23">
        <f>58*0.96</f>
        <v>55.68</v>
      </c>
      <c r="J42" s="23"/>
      <c r="K42" s="23"/>
      <c r="L42" s="23"/>
      <c r="M42" s="23"/>
      <c r="N42" s="23"/>
      <c r="O42" s="23"/>
      <c r="P42" s="23"/>
      <c r="Q42" s="23"/>
      <c r="R42" s="23"/>
      <c r="S42" s="25"/>
      <c r="T42" s="25"/>
      <c r="U42" s="25"/>
      <c r="V42" s="25"/>
      <c r="W42" s="25"/>
      <c r="X42" s="25"/>
      <c r="Y42" s="25">
        <f>69*1.08</f>
        <v>74.52000000000001</v>
      </c>
      <c r="Z42" s="25"/>
      <c r="AA42" s="25"/>
      <c r="AB42" s="25"/>
      <c r="AC42" s="25"/>
      <c r="AD42" s="25"/>
    </row>
    <row r="43" spans="1:30" ht="8.25">
      <c r="A43" s="18">
        <f>SUM(0+D43)</f>
        <v>142.4</v>
      </c>
      <c r="B43" s="19" t="s">
        <v>262</v>
      </c>
      <c r="C43" s="20" t="s">
        <v>17</v>
      </c>
      <c r="D43" s="25">
        <f>SUM(E43:AD43)</f>
        <v>142.4</v>
      </c>
      <c r="E43" s="25"/>
      <c r="F43" s="25"/>
      <c r="G43" s="25"/>
      <c r="H43" s="25"/>
      <c r="I43" s="25"/>
      <c r="J43" s="25"/>
      <c r="K43" s="25"/>
      <c r="L43" s="25"/>
      <c r="M43" s="25"/>
      <c r="N43" s="23"/>
      <c r="O43" s="23">
        <f>160*0.89</f>
        <v>142.4</v>
      </c>
      <c r="P43" s="23"/>
      <c r="Q43" s="23"/>
      <c r="R43" s="23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8.25">
      <c r="A44" s="18">
        <f>SUM(0+D44)</f>
        <v>134.25</v>
      </c>
      <c r="B44" s="19" t="s">
        <v>214</v>
      </c>
      <c r="C44" s="20" t="s">
        <v>17</v>
      </c>
      <c r="D44" s="25">
        <f>SUM(E44:AD44)</f>
        <v>134.25</v>
      </c>
      <c r="E44" s="25"/>
      <c r="F44" s="25"/>
      <c r="G44" s="25"/>
      <c r="H44" s="25"/>
      <c r="I44" s="25"/>
      <c r="J44" s="25"/>
      <c r="K44" s="25"/>
      <c r="L44" s="25"/>
      <c r="M44" s="25"/>
      <c r="N44" s="23"/>
      <c r="O44" s="23">
        <f>144*0.89</f>
        <v>128.16</v>
      </c>
      <c r="P44" s="23">
        <f>9*0.25</f>
        <v>2.25</v>
      </c>
      <c r="Q44" s="23"/>
      <c r="R44" s="23"/>
      <c r="S44" s="25"/>
      <c r="T44" s="25"/>
      <c r="U44" s="25"/>
      <c r="V44" s="25"/>
      <c r="W44" s="25"/>
      <c r="X44" s="25">
        <f>8*0.48</f>
        <v>3.84</v>
      </c>
      <c r="Y44" s="25"/>
      <c r="Z44" s="25"/>
      <c r="AA44" s="25"/>
      <c r="AB44" s="25"/>
      <c r="AC44" s="25"/>
      <c r="AD44" s="25"/>
    </row>
    <row r="45" spans="1:30" ht="8.25">
      <c r="A45" s="18">
        <f>SUM(0+D45)</f>
        <v>130.79999999999998</v>
      </c>
      <c r="B45" s="19" t="s">
        <v>279</v>
      </c>
      <c r="C45" s="20" t="s">
        <v>24</v>
      </c>
      <c r="D45" s="25">
        <f>SUM(E45:AD45)</f>
        <v>130.79999999999998</v>
      </c>
      <c r="E45" s="25"/>
      <c r="F45" s="25"/>
      <c r="G45" s="25"/>
      <c r="H45" s="25"/>
      <c r="I45" s="25"/>
      <c r="J45" s="25"/>
      <c r="K45" s="25"/>
      <c r="L45" s="25"/>
      <c r="M45" s="25"/>
      <c r="N45" s="23"/>
      <c r="O45" s="23"/>
      <c r="P45" s="23"/>
      <c r="Q45" s="23"/>
      <c r="R45" s="23"/>
      <c r="S45" s="25"/>
      <c r="T45" s="25">
        <f>109*1.2</f>
        <v>130.79999999999998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8.25">
      <c r="A46" s="18">
        <f>SUM(0+D46)</f>
        <v>122.5</v>
      </c>
      <c r="B46" s="19" t="s">
        <v>289</v>
      </c>
      <c r="C46" s="20" t="s">
        <v>21</v>
      </c>
      <c r="D46" s="25">
        <f>SUM(E46:AD46)</f>
        <v>122.5</v>
      </c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5"/>
      <c r="T46" s="25"/>
      <c r="U46" s="25"/>
      <c r="V46" s="25"/>
      <c r="W46" s="25">
        <f>70*1.75</f>
        <v>122.5</v>
      </c>
      <c r="X46" s="25"/>
      <c r="Y46" s="25"/>
      <c r="Z46" s="25"/>
      <c r="AA46" s="25"/>
      <c r="AB46" s="25"/>
      <c r="AC46" s="25"/>
      <c r="AD46" s="25"/>
    </row>
    <row r="47" spans="1:30" ht="8.25">
      <c r="A47" s="18">
        <f>SUM(0+D47)</f>
        <v>113.88999999999999</v>
      </c>
      <c r="B47" s="19" t="s">
        <v>197</v>
      </c>
      <c r="C47" s="20" t="s">
        <v>35</v>
      </c>
      <c r="D47" s="25">
        <f>SUM(E47:AD47)</f>
        <v>113.88999999999999</v>
      </c>
      <c r="E47" s="23">
        <f>29*2.07</f>
        <v>60.029999999999994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>49*0.6</f>
        <v>29.4</v>
      </c>
      <c r="R47" s="23"/>
      <c r="S47" s="25"/>
      <c r="T47" s="25"/>
      <c r="U47" s="25">
        <f>67*0.13</f>
        <v>8.71</v>
      </c>
      <c r="V47" s="25"/>
      <c r="W47" s="25">
        <f>9*1.75</f>
        <v>15.75</v>
      </c>
      <c r="X47" s="25"/>
      <c r="Y47" s="25"/>
      <c r="Z47" s="25"/>
      <c r="AA47" s="25"/>
      <c r="AB47" s="25"/>
      <c r="AC47" s="25"/>
      <c r="AD47" s="25"/>
    </row>
    <row r="48" spans="1:30" ht="8.25">
      <c r="A48" s="18">
        <f>SUM(0+D48)</f>
        <v>105.12</v>
      </c>
      <c r="B48" s="19" t="s">
        <v>238</v>
      </c>
      <c r="C48" s="20" t="s">
        <v>5</v>
      </c>
      <c r="D48" s="25">
        <f>SUM(E48:AD48)</f>
        <v>105.12</v>
      </c>
      <c r="E48" s="23"/>
      <c r="F48" s="23">
        <f>114*0.16</f>
        <v>18.240000000000002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5"/>
      <c r="T48" s="25"/>
      <c r="U48" s="25"/>
      <c r="V48" s="25"/>
      <c r="W48" s="25"/>
      <c r="X48" s="25">
        <f>181*0.48</f>
        <v>86.88</v>
      </c>
      <c r="Y48" s="25"/>
      <c r="Z48" s="25"/>
      <c r="AA48" s="25"/>
      <c r="AB48" s="25"/>
      <c r="AC48" s="25"/>
      <c r="AD48" s="25"/>
    </row>
    <row r="49" spans="1:30" ht="8.25">
      <c r="A49" s="26">
        <f>SUM(0+D49)</f>
        <v>102.00999999999999</v>
      </c>
      <c r="B49" s="19" t="s">
        <v>83</v>
      </c>
      <c r="C49" s="20"/>
      <c r="D49" s="25">
        <f>SUM(E49:AD49)</f>
        <v>102.00999999999999</v>
      </c>
      <c r="E49" s="23">
        <f>33*2.07</f>
        <v>68.30999999999999</v>
      </c>
      <c r="F49" s="23"/>
      <c r="G49" s="23"/>
      <c r="H49" s="23"/>
      <c r="I49" s="23"/>
      <c r="J49" s="23"/>
      <c r="K49" s="23"/>
      <c r="L49" s="23"/>
      <c r="M49" s="23"/>
      <c r="N49" s="23">
        <f>47*0.38</f>
        <v>17.86</v>
      </c>
      <c r="O49" s="23"/>
      <c r="P49" s="23"/>
      <c r="Q49" s="23"/>
      <c r="R49" s="23"/>
      <c r="S49" s="25"/>
      <c r="T49" s="25"/>
      <c r="U49" s="25"/>
      <c r="V49" s="25"/>
      <c r="W49" s="25"/>
      <c r="X49" s="25">
        <f>33*0.48</f>
        <v>15.84</v>
      </c>
      <c r="Y49" s="25"/>
      <c r="Z49" s="25"/>
      <c r="AA49" s="25"/>
      <c r="AB49" s="25"/>
      <c r="AC49" s="25"/>
      <c r="AD49" s="25"/>
    </row>
    <row r="50" spans="1:30" ht="8.25">
      <c r="A50" s="28">
        <f>SUM(0+D50)</f>
        <v>101.07000000000001</v>
      </c>
      <c r="B50" s="19" t="s">
        <v>222</v>
      </c>
      <c r="C50" s="20" t="s">
        <v>17</v>
      </c>
      <c r="D50" s="25">
        <f>SUM(E50:AD50)</f>
        <v>101.07000000000001</v>
      </c>
      <c r="E50" s="23"/>
      <c r="F50" s="23"/>
      <c r="G50" s="23"/>
      <c r="H50" s="23">
        <f>126*0.27</f>
        <v>34.02</v>
      </c>
      <c r="I50" s="23"/>
      <c r="J50" s="23"/>
      <c r="K50" s="23"/>
      <c r="L50" s="23"/>
      <c r="M50" s="25">
        <v>25</v>
      </c>
      <c r="N50" s="23"/>
      <c r="O50" s="23">
        <f>25*0.89</f>
        <v>22.25</v>
      </c>
      <c r="P50" s="23"/>
      <c r="Q50" s="23"/>
      <c r="R50" s="23">
        <f>90*0.22</f>
        <v>19.8</v>
      </c>
      <c r="S50" s="25"/>
      <c r="T50" s="25"/>
      <c r="U50" s="23"/>
      <c r="V50" s="23"/>
      <c r="W50" s="25"/>
      <c r="X50" s="25"/>
      <c r="Y50" s="25"/>
      <c r="Z50" s="25"/>
      <c r="AA50" s="25"/>
      <c r="AB50" s="25"/>
      <c r="AC50" s="25"/>
      <c r="AD50" s="25"/>
    </row>
    <row r="51" spans="1:30" ht="8.25">
      <c r="A51" s="18">
        <f>SUM(0+D51)</f>
        <v>93.47999999999999</v>
      </c>
      <c r="B51" s="19" t="s">
        <v>204</v>
      </c>
      <c r="C51" s="20" t="s">
        <v>7</v>
      </c>
      <c r="D51" s="25">
        <f>SUM(E51:AD51)</f>
        <v>93.47999999999999</v>
      </c>
      <c r="E51" s="23"/>
      <c r="F51" s="23"/>
      <c r="G51" s="23">
        <f>82*1.14</f>
        <v>93.47999999999999</v>
      </c>
      <c r="H51" s="23"/>
      <c r="I51" s="23"/>
      <c r="J51" s="23"/>
      <c r="K51" s="23"/>
      <c r="L51" s="23"/>
      <c r="M51" s="25"/>
      <c r="N51" s="23"/>
      <c r="O51" s="23"/>
      <c r="P51" s="23"/>
      <c r="Q51" s="23"/>
      <c r="R51" s="23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8.25">
      <c r="A52" s="18">
        <f>SUM(0+D52)</f>
        <v>90.78</v>
      </c>
      <c r="B52" s="19" t="s">
        <v>263</v>
      </c>
      <c r="C52" s="20" t="s">
        <v>17</v>
      </c>
      <c r="D52" s="25">
        <f>SUM(E52:AD52)</f>
        <v>90.78</v>
      </c>
      <c r="E52" s="25"/>
      <c r="F52" s="25"/>
      <c r="G52" s="25"/>
      <c r="H52" s="25"/>
      <c r="I52" s="25"/>
      <c r="J52" s="25"/>
      <c r="K52" s="25"/>
      <c r="L52" s="25"/>
      <c r="M52" s="25"/>
      <c r="N52" s="23"/>
      <c r="O52" s="23">
        <f>102*0.89</f>
        <v>90.78</v>
      </c>
      <c r="P52" s="23"/>
      <c r="Q52" s="23"/>
      <c r="R52" s="23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8.25">
      <c r="A53" s="18">
        <f>SUM(0+D53)</f>
        <v>87.57</v>
      </c>
      <c r="B53" s="19" t="s">
        <v>199</v>
      </c>
      <c r="C53" s="20" t="s">
        <v>35</v>
      </c>
      <c r="D53" s="25">
        <f>SUM(E53:AD53)</f>
        <v>87.57</v>
      </c>
      <c r="E53" s="23">
        <f>22*2.07</f>
        <v>45.54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f>44*0.6</f>
        <v>26.4</v>
      </c>
      <c r="R53" s="23"/>
      <c r="S53" s="25"/>
      <c r="T53" s="25"/>
      <c r="U53" s="25">
        <f>26*0.13</f>
        <v>3.38</v>
      </c>
      <c r="V53" s="25"/>
      <c r="W53" s="25">
        <f>7*1.75</f>
        <v>12.25</v>
      </c>
      <c r="X53" s="25"/>
      <c r="Y53" s="25"/>
      <c r="Z53" s="25"/>
      <c r="AA53" s="25"/>
      <c r="AB53" s="25"/>
      <c r="AC53" s="25"/>
      <c r="AD53" s="25"/>
    </row>
    <row r="54" spans="1:30" ht="8.25">
      <c r="A54" s="18">
        <f>SUM(0+D54)</f>
        <v>80.94</v>
      </c>
      <c r="B54" s="19" t="s">
        <v>189</v>
      </c>
      <c r="C54" s="20" t="s">
        <v>7</v>
      </c>
      <c r="D54" s="25">
        <f>SUM(E54:AD54)</f>
        <v>80.94</v>
      </c>
      <c r="E54" s="23"/>
      <c r="F54" s="23"/>
      <c r="G54" s="23">
        <f>71*1.14</f>
        <v>80.94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8.25">
      <c r="A55" s="18">
        <f>SUM(0+D55)</f>
        <v>77.91999999999999</v>
      </c>
      <c r="B55" s="19" t="s">
        <v>198</v>
      </c>
      <c r="C55" s="20"/>
      <c r="D55" s="25">
        <f>SUM(E55:AD55)</f>
        <v>77.91999999999999</v>
      </c>
      <c r="E55" s="23">
        <f>26*2.07</f>
        <v>53.81999999999999</v>
      </c>
      <c r="F55" s="23">
        <f>58*0.16</f>
        <v>9.28</v>
      </c>
      <c r="G55" s="23"/>
      <c r="H55" s="23"/>
      <c r="I55" s="23"/>
      <c r="J55" s="23"/>
      <c r="K55" s="23"/>
      <c r="L55" s="23"/>
      <c r="M55" s="23"/>
      <c r="N55" s="23">
        <f>39*0.38</f>
        <v>14.82</v>
      </c>
      <c r="O55" s="23"/>
      <c r="P55" s="23"/>
      <c r="Q55" s="23"/>
      <c r="R55" s="23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8.25">
      <c r="A56" s="18">
        <f>SUM(0+D56)</f>
        <v>71.38</v>
      </c>
      <c r="B56" s="19" t="s">
        <v>223</v>
      </c>
      <c r="C56" s="20" t="s">
        <v>17</v>
      </c>
      <c r="D56" s="25">
        <f>SUM(E56:AD56)</f>
        <v>71.38</v>
      </c>
      <c r="E56" s="25"/>
      <c r="F56" s="23"/>
      <c r="G56" s="23"/>
      <c r="H56" s="23">
        <f>79*0.27</f>
        <v>21.330000000000002</v>
      </c>
      <c r="I56" s="23"/>
      <c r="J56" s="23"/>
      <c r="K56" s="23"/>
      <c r="L56" s="23"/>
      <c r="M56" s="25"/>
      <c r="N56" s="23"/>
      <c r="O56" s="23">
        <f>33*0.89</f>
        <v>29.37</v>
      </c>
      <c r="P56" s="23"/>
      <c r="Q56" s="23"/>
      <c r="R56" s="23">
        <f>94*0.22</f>
        <v>20.68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8.25">
      <c r="A57" s="18">
        <f>SUM(0+D57)</f>
        <v>68.38</v>
      </c>
      <c r="B57" s="19" t="s">
        <v>142</v>
      </c>
      <c r="C57" s="20" t="s">
        <v>21</v>
      </c>
      <c r="D57" s="25">
        <f>SUM(E57:AD57)</f>
        <v>68.38</v>
      </c>
      <c r="E57" s="25"/>
      <c r="F57" s="23"/>
      <c r="G57" s="25"/>
      <c r="H57" s="25"/>
      <c r="I57" s="25"/>
      <c r="J57" s="25"/>
      <c r="K57" s="23">
        <f>52*0.65</f>
        <v>33.800000000000004</v>
      </c>
      <c r="L57" s="23"/>
      <c r="M57" s="25"/>
      <c r="N57" s="23"/>
      <c r="O57" s="23"/>
      <c r="P57" s="23"/>
      <c r="Q57" s="23"/>
      <c r="R57" s="23"/>
      <c r="S57" s="25"/>
      <c r="T57" s="25"/>
      <c r="U57" s="25"/>
      <c r="V57" s="25">
        <f>38*0.91</f>
        <v>34.58</v>
      </c>
      <c r="W57" s="25"/>
      <c r="X57" s="25"/>
      <c r="Y57" s="25"/>
      <c r="Z57" s="25"/>
      <c r="AA57" s="25"/>
      <c r="AB57" s="25"/>
      <c r="AC57" s="25"/>
      <c r="AD57" s="25"/>
    </row>
    <row r="58" spans="1:30" ht="8.25">
      <c r="A58" s="18">
        <f>SUM(0+D58)</f>
        <v>62.300000000000004</v>
      </c>
      <c r="B58" s="19" t="s">
        <v>36</v>
      </c>
      <c r="C58" s="20" t="s">
        <v>17</v>
      </c>
      <c r="D58" s="25">
        <f>SUM(E58:AD58)</f>
        <v>62.300000000000004</v>
      </c>
      <c r="E58" s="25"/>
      <c r="F58" s="25"/>
      <c r="G58" s="25"/>
      <c r="H58" s="25"/>
      <c r="I58" s="25"/>
      <c r="J58" s="25"/>
      <c r="K58" s="25"/>
      <c r="L58" s="25"/>
      <c r="M58" s="25"/>
      <c r="N58" s="23"/>
      <c r="O58" s="23">
        <f>70*0.89</f>
        <v>62.300000000000004</v>
      </c>
      <c r="P58" s="23"/>
      <c r="Q58" s="23"/>
      <c r="R58" s="23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ht="8.25">
      <c r="A59" s="18">
        <f>SUM(0+D59)</f>
        <v>60.669999999999995</v>
      </c>
      <c r="B59" s="19" t="s">
        <v>20</v>
      </c>
      <c r="C59" s="20" t="s">
        <v>17</v>
      </c>
      <c r="D59" s="25">
        <f>SUM(E59:AD59)</f>
        <v>60.669999999999995</v>
      </c>
      <c r="E59" s="23">
        <f>13*2.07</f>
        <v>26.909999999999997</v>
      </c>
      <c r="F59" s="23"/>
      <c r="G59" s="23"/>
      <c r="H59" s="23">
        <f>33*0.27</f>
        <v>8.91</v>
      </c>
      <c r="I59" s="23"/>
      <c r="J59" s="23"/>
      <c r="K59" s="23">
        <f>9*0.65</f>
        <v>5.8500000000000005</v>
      </c>
      <c r="L59" s="23"/>
      <c r="M59" s="25"/>
      <c r="N59" s="23"/>
      <c r="O59" s="23"/>
      <c r="P59" s="23">
        <f>76*0.25</f>
        <v>19</v>
      </c>
      <c r="Q59" s="23"/>
      <c r="R59" s="23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ht="8.25">
      <c r="A60" s="18">
        <f>SUM(0+D60)</f>
        <v>57.75</v>
      </c>
      <c r="B60" s="19" t="s">
        <v>290</v>
      </c>
      <c r="C60" s="20" t="s">
        <v>26</v>
      </c>
      <c r="D60" s="25">
        <f>SUM(E60:AD60)</f>
        <v>57.75</v>
      </c>
      <c r="E60" s="25"/>
      <c r="F60" s="25"/>
      <c r="G60" s="25"/>
      <c r="H60" s="25"/>
      <c r="I60" s="25"/>
      <c r="J60" s="25"/>
      <c r="K60" s="25"/>
      <c r="L60" s="25"/>
      <c r="M60" s="25"/>
      <c r="N60" s="23"/>
      <c r="O60" s="23"/>
      <c r="P60" s="23"/>
      <c r="Q60" s="23"/>
      <c r="R60" s="23"/>
      <c r="S60" s="25"/>
      <c r="T60" s="25"/>
      <c r="U60" s="25"/>
      <c r="V60" s="25"/>
      <c r="W60" s="25">
        <f>33*1.75</f>
        <v>57.75</v>
      </c>
      <c r="X60" s="25"/>
      <c r="Y60" s="25"/>
      <c r="Z60" s="25"/>
      <c r="AA60" s="25"/>
      <c r="AB60" s="25"/>
      <c r="AC60" s="25"/>
      <c r="AD60" s="25"/>
    </row>
    <row r="61" spans="1:30" ht="8.25">
      <c r="A61" s="18">
        <f>SUM(0+D61)</f>
        <v>57.519999999999996</v>
      </c>
      <c r="B61" s="19" t="s">
        <v>295</v>
      </c>
      <c r="C61" s="20" t="s">
        <v>35</v>
      </c>
      <c r="D61" s="25">
        <f>SUM(E61:AD61)</f>
        <v>57.519999999999996</v>
      </c>
      <c r="E61" s="25"/>
      <c r="F61" s="25"/>
      <c r="G61" s="25"/>
      <c r="H61" s="25"/>
      <c r="I61" s="25"/>
      <c r="J61" s="25"/>
      <c r="K61" s="25"/>
      <c r="L61" s="25"/>
      <c r="M61" s="25"/>
      <c r="N61" s="23"/>
      <c r="O61" s="23"/>
      <c r="P61" s="23"/>
      <c r="Q61" s="23">
        <f>69*0.6</f>
        <v>41.4</v>
      </c>
      <c r="R61" s="23"/>
      <c r="S61" s="25"/>
      <c r="T61" s="25"/>
      <c r="U61" s="25">
        <f>124*0.13</f>
        <v>16.12</v>
      </c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ht="8.25">
      <c r="A62" s="18">
        <f>SUM(0+D62)</f>
        <v>54.68</v>
      </c>
      <c r="B62" s="19" t="s">
        <v>224</v>
      </c>
      <c r="C62" s="20" t="s">
        <v>17</v>
      </c>
      <c r="D62" s="25">
        <f>SUM(E62:AD62)</f>
        <v>54.68</v>
      </c>
      <c r="E62" s="23"/>
      <c r="F62" s="23"/>
      <c r="G62" s="23"/>
      <c r="H62" s="23">
        <f>41*0.27</f>
        <v>11.07</v>
      </c>
      <c r="I62" s="23"/>
      <c r="J62" s="23"/>
      <c r="K62" s="23"/>
      <c r="L62" s="23"/>
      <c r="M62" s="25"/>
      <c r="N62" s="23"/>
      <c r="O62" s="23">
        <f>49*0.89</f>
        <v>43.61</v>
      </c>
      <c r="P62" s="23"/>
      <c r="Q62" s="23"/>
      <c r="R62" s="23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8.25">
      <c r="A63" s="18">
        <f>SUM(0+D63)</f>
        <v>52.67</v>
      </c>
      <c r="B63" s="19" t="s">
        <v>264</v>
      </c>
      <c r="C63" s="20" t="s">
        <v>17</v>
      </c>
      <c r="D63" s="25">
        <f>SUM(E63:AD63)</f>
        <v>52.67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>
        <f>43*0.89</f>
        <v>38.27</v>
      </c>
      <c r="P63" s="23"/>
      <c r="Q63" s="23"/>
      <c r="R63" s="23"/>
      <c r="S63" s="25">
        <f>72*0.2</f>
        <v>14.4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ht="8.25">
      <c r="A64" s="18">
        <f>SUM(0+D64)</f>
        <v>46.4</v>
      </c>
      <c r="B64" s="19" t="s">
        <v>216</v>
      </c>
      <c r="C64" s="20" t="s">
        <v>14</v>
      </c>
      <c r="D64" s="25">
        <f>SUM(E64:AD64)</f>
        <v>46.4</v>
      </c>
      <c r="E64" s="23"/>
      <c r="F64" s="23"/>
      <c r="G64" s="23"/>
      <c r="H64" s="23"/>
      <c r="I64" s="23"/>
      <c r="J64" s="23">
        <f>40*1.1</f>
        <v>44</v>
      </c>
      <c r="K64" s="23"/>
      <c r="L64" s="23"/>
      <c r="M64" s="23"/>
      <c r="N64" s="23"/>
      <c r="O64" s="23"/>
      <c r="P64" s="23"/>
      <c r="Q64" s="23"/>
      <c r="R64" s="23"/>
      <c r="S64" s="25"/>
      <c r="T64" s="25">
        <f>2*1.2</f>
        <v>2.4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ht="8.25">
      <c r="A65" s="18">
        <f>SUM(0+D65)</f>
        <v>45.6</v>
      </c>
      <c r="B65" s="19" t="s">
        <v>280</v>
      </c>
      <c r="C65" s="20" t="s">
        <v>24</v>
      </c>
      <c r="D65" s="25">
        <f>SUM(E65:AD65)</f>
        <v>45.6</v>
      </c>
      <c r="E65" s="25"/>
      <c r="F65" s="25"/>
      <c r="G65" s="25"/>
      <c r="H65" s="25"/>
      <c r="I65" s="25"/>
      <c r="J65" s="25"/>
      <c r="K65" s="25"/>
      <c r="L65" s="25"/>
      <c r="M65" s="25"/>
      <c r="N65" s="23"/>
      <c r="O65" s="23"/>
      <c r="P65" s="23"/>
      <c r="Q65" s="23"/>
      <c r="R65" s="23"/>
      <c r="S65" s="25"/>
      <c r="T65" s="25">
        <f>38*1.2</f>
        <v>45.6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ht="8.25">
      <c r="A66" s="18">
        <f>SUM(0+D66)</f>
        <v>45.599999999999994</v>
      </c>
      <c r="B66" s="19" t="s">
        <v>205</v>
      </c>
      <c r="C66" s="20" t="s">
        <v>7</v>
      </c>
      <c r="D66" s="25">
        <f>SUM(E66:AD66)</f>
        <v>45.599999999999994</v>
      </c>
      <c r="E66" s="25"/>
      <c r="F66" s="23"/>
      <c r="G66" s="23">
        <f>40*1.14</f>
        <v>45.599999999999994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8.25" customHeight="1">
      <c r="A67" s="18">
        <f>SUM(0+D67)</f>
        <v>44.800000000000004</v>
      </c>
      <c r="B67" s="19" t="s">
        <v>272</v>
      </c>
      <c r="C67" s="20" t="s">
        <v>17</v>
      </c>
      <c r="D67" s="25">
        <f>SUM(E67:AD67)</f>
        <v>44.800000000000004</v>
      </c>
      <c r="E67" s="23"/>
      <c r="F67" s="23"/>
      <c r="G67" s="23"/>
      <c r="H67" s="23"/>
      <c r="I67" s="23"/>
      <c r="J67" s="25"/>
      <c r="K67" s="25"/>
      <c r="L67" s="25"/>
      <c r="M67" s="25"/>
      <c r="N67" s="25"/>
      <c r="O67" s="25"/>
      <c r="P67" s="25"/>
      <c r="Q67" s="25"/>
      <c r="R67" s="23"/>
      <c r="S67" s="25">
        <f>224*0.2</f>
        <v>44.800000000000004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8.25">
      <c r="A68" s="18">
        <f>SUM(0+D68)</f>
        <v>42.7</v>
      </c>
      <c r="B68" s="19" t="s">
        <v>182</v>
      </c>
      <c r="C68" s="20" t="s">
        <v>14</v>
      </c>
      <c r="D68" s="25">
        <f>SUM(E68:AD68)</f>
        <v>42.7</v>
      </c>
      <c r="E68" s="23"/>
      <c r="F68" s="23"/>
      <c r="G68" s="23"/>
      <c r="H68" s="23"/>
      <c r="I68" s="23">
        <f>20*0.96</f>
        <v>19.2</v>
      </c>
      <c r="J68" s="23"/>
      <c r="K68" s="23">
        <f>20*0.65</f>
        <v>13</v>
      </c>
      <c r="L68" s="23"/>
      <c r="M68" s="23"/>
      <c r="N68" s="23"/>
      <c r="O68" s="23"/>
      <c r="P68" s="23"/>
      <c r="Q68" s="23"/>
      <c r="R68" s="23"/>
      <c r="S68" s="25"/>
      <c r="T68" s="25"/>
      <c r="U68" s="25"/>
      <c r="V68" s="25"/>
      <c r="W68" s="25">
        <f>6*1.75</f>
        <v>10.5</v>
      </c>
      <c r="X68" s="25"/>
      <c r="Y68" s="25"/>
      <c r="Z68" s="25"/>
      <c r="AA68" s="25"/>
      <c r="AB68" s="25"/>
      <c r="AC68" s="25"/>
      <c r="AD68" s="25"/>
    </row>
    <row r="69" spans="1:30" ht="8.25">
      <c r="A69" s="18">
        <f>SUM(0+D69)</f>
        <v>42</v>
      </c>
      <c r="B69" s="19" t="s">
        <v>234</v>
      </c>
      <c r="C69" s="20" t="s">
        <v>24</v>
      </c>
      <c r="D69" s="25">
        <f>SUM(E69:AD69)</f>
        <v>42</v>
      </c>
      <c r="E69" s="25"/>
      <c r="F69" s="25"/>
      <c r="G69" s="25"/>
      <c r="H69" s="25"/>
      <c r="I69" s="25"/>
      <c r="J69" s="25"/>
      <c r="K69" s="25"/>
      <c r="L69" s="25"/>
      <c r="M69" s="25"/>
      <c r="N69" s="23"/>
      <c r="O69" s="23"/>
      <c r="P69" s="23"/>
      <c r="Q69" s="23"/>
      <c r="R69" s="23"/>
      <c r="S69" s="25"/>
      <c r="T69" s="25">
        <f>35*1.2</f>
        <v>42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ht="8.25">
      <c r="A70" s="18">
        <f>SUM(0+D70)</f>
        <v>41.3</v>
      </c>
      <c r="B70" s="19" t="s">
        <v>206</v>
      </c>
      <c r="C70" s="20" t="s">
        <v>7</v>
      </c>
      <c r="D70" s="25">
        <f>SUM(E70:AD70)</f>
        <v>41.3</v>
      </c>
      <c r="E70" s="25"/>
      <c r="F70" s="23"/>
      <c r="G70" s="23">
        <f>15*1.14</f>
        <v>17.099999999999998</v>
      </c>
      <c r="H70" s="23"/>
      <c r="I70" s="23"/>
      <c r="J70" s="23">
        <f>22*1.1</f>
        <v>24.200000000000003</v>
      </c>
      <c r="K70" s="23"/>
      <c r="L70" s="23"/>
      <c r="M70" s="25"/>
      <c r="N70" s="23"/>
      <c r="O70" s="23"/>
      <c r="P70" s="23"/>
      <c r="Q70" s="23"/>
      <c r="R70" s="23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ht="8.25">
      <c r="A71" s="18">
        <f>SUM(0+D71)</f>
        <v>40.260000000000005</v>
      </c>
      <c r="B71" s="19" t="s">
        <v>217</v>
      </c>
      <c r="C71" s="20" t="s">
        <v>37</v>
      </c>
      <c r="D71" s="25">
        <f>SUM(E71:AD71)</f>
        <v>40.260000000000005</v>
      </c>
      <c r="E71" s="25"/>
      <c r="F71" s="23"/>
      <c r="G71" s="23"/>
      <c r="H71" s="23"/>
      <c r="I71" s="23"/>
      <c r="J71" s="23">
        <f>21*1.1</f>
        <v>23.1</v>
      </c>
      <c r="K71" s="23"/>
      <c r="L71" s="23">
        <f>39*0.44</f>
        <v>17.16</v>
      </c>
      <c r="M71" s="25"/>
      <c r="N71" s="23"/>
      <c r="O71" s="23"/>
      <c r="P71" s="23"/>
      <c r="Q71" s="23"/>
      <c r="R71" s="23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8.25">
      <c r="A72" s="18">
        <f>SUM(0+D72)</f>
        <v>36.6</v>
      </c>
      <c r="B72" s="19" t="s">
        <v>273</v>
      </c>
      <c r="C72" s="20" t="s">
        <v>17</v>
      </c>
      <c r="D72" s="25">
        <f>SUM(E72:AD72)</f>
        <v>36.6</v>
      </c>
      <c r="E72" s="25"/>
      <c r="F72" s="25"/>
      <c r="G72" s="25"/>
      <c r="H72" s="25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5">
        <f>183*0.2</f>
        <v>36.6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8.25">
      <c r="A73" s="18">
        <f>SUM(0+D73)</f>
        <v>30.6</v>
      </c>
      <c r="B73" s="19" t="s">
        <v>187</v>
      </c>
      <c r="C73" s="20" t="s">
        <v>7</v>
      </c>
      <c r="D73" s="25">
        <f>SUM(E73:AD73)</f>
        <v>30.6</v>
      </c>
      <c r="E73" s="23">
        <f>10*2.07</f>
        <v>20.7</v>
      </c>
      <c r="F73" s="23"/>
      <c r="G73" s="23"/>
      <c r="H73" s="23"/>
      <c r="I73" s="23"/>
      <c r="J73" s="23">
        <f>9*1.1</f>
        <v>9.9</v>
      </c>
      <c r="K73" s="23"/>
      <c r="L73" s="23"/>
      <c r="M73" s="25"/>
      <c r="N73" s="23"/>
      <c r="O73" s="23"/>
      <c r="P73" s="23"/>
      <c r="Q73" s="23"/>
      <c r="R73" s="23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ht="8.25">
      <c r="A74" s="26">
        <f>SUM(0+D74)</f>
        <v>29.900000000000002</v>
      </c>
      <c r="B74" s="19" t="s">
        <v>25</v>
      </c>
      <c r="C74" s="20" t="s">
        <v>26</v>
      </c>
      <c r="D74" s="25">
        <f>SUM(E74:AD74)</f>
        <v>29.900000000000002</v>
      </c>
      <c r="E74" s="23"/>
      <c r="F74" s="23"/>
      <c r="G74" s="23"/>
      <c r="H74" s="23"/>
      <c r="I74" s="23"/>
      <c r="J74" s="23"/>
      <c r="K74" s="23">
        <f>46*0.65</f>
        <v>29.900000000000002</v>
      </c>
      <c r="L74" s="23"/>
      <c r="M74" s="23"/>
      <c r="N74" s="23"/>
      <c r="O74" s="23"/>
      <c r="P74" s="23"/>
      <c r="Q74" s="23"/>
      <c r="R74" s="23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8.25">
      <c r="A75" s="28">
        <f>SUM(0+D75)</f>
        <v>27.45</v>
      </c>
      <c r="B75" s="19" t="s">
        <v>200</v>
      </c>
      <c r="C75" s="20"/>
      <c r="D75" s="25">
        <f>SUM(E75:AD75)</f>
        <v>27.45</v>
      </c>
      <c r="E75" s="23">
        <f>11*2.07</f>
        <v>22.77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5"/>
      <c r="T75" s="25"/>
      <c r="U75" s="25">
        <f>36*0.13</f>
        <v>4.68</v>
      </c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8.25">
      <c r="A76" s="18">
        <f>SUM(0+D76)</f>
        <v>27.36</v>
      </c>
      <c r="B76" s="19" t="s">
        <v>89</v>
      </c>
      <c r="C76" s="20" t="s">
        <v>7</v>
      </c>
      <c r="D76" s="25">
        <f>SUM(E76:AD76)</f>
        <v>27.36</v>
      </c>
      <c r="E76" s="25"/>
      <c r="F76" s="23"/>
      <c r="G76" s="23">
        <f>24*1.14</f>
        <v>27.36</v>
      </c>
      <c r="H76" s="23"/>
      <c r="I76" s="23"/>
      <c r="J76" s="23"/>
      <c r="K76" s="23"/>
      <c r="L76" s="23"/>
      <c r="M76" s="25"/>
      <c r="N76" s="23"/>
      <c r="O76" s="23"/>
      <c r="P76" s="23"/>
      <c r="Q76" s="23"/>
      <c r="R76" s="23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ht="8.25">
      <c r="A77" s="18">
        <f>SUM(0+D77)</f>
        <v>27.08</v>
      </c>
      <c r="B77" s="19" t="s">
        <v>77</v>
      </c>
      <c r="C77" s="20" t="s">
        <v>14</v>
      </c>
      <c r="D77" s="25">
        <f>SUM(E77:AD77)</f>
        <v>27.08</v>
      </c>
      <c r="E77" s="25"/>
      <c r="F77" s="23"/>
      <c r="G77" s="25"/>
      <c r="H77" s="25"/>
      <c r="I77" s="23">
        <f>8*0.96</f>
        <v>7.68</v>
      </c>
      <c r="J77" s="23"/>
      <c r="K77" s="23">
        <f>11*0.65</f>
        <v>7.15</v>
      </c>
      <c r="L77" s="23"/>
      <c r="M77" s="23"/>
      <c r="N77" s="23"/>
      <c r="O77" s="23"/>
      <c r="P77" s="23"/>
      <c r="Q77" s="23"/>
      <c r="R77" s="23"/>
      <c r="S77" s="25"/>
      <c r="T77" s="25"/>
      <c r="U77" s="25"/>
      <c r="V77" s="25"/>
      <c r="W77" s="25">
        <f>7*1.75</f>
        <v>12.25</v>
      </c>
      <c r="X77" s="25"/>
      <c r="Y77" s="25"/>
      <c r="Z77" s="25"/>
      <c r="AA77" s="25"/>
      <c r="AB77" s="25"/>
      <c r="AC77" s="25"/>
      <c r="AD77" s="25"/>
    </row>
    <row r="78" spans="1:30" ht="8.25">
      <c r="A78" s="18">
        <f>SUM(0+D78)</f>
        <v>26.4</v>
      </c>
      <c r="B78" s="19" t="s">
        <v>292</v>
      </c>
      <c r="C78" s="20" t="s">
        <v>35</v>
      </c>
      <c r="D78" s="25">
        <f>SUM(E78:AD78)</f>
        <v>26.4</v>
      </c>
      <c r="E78" s="25"/>
      <c r="F78" s="25"/>
      <c r="G78" s="25"/>
      <c r="H78" s="25"/>
      <c r="I78" s="25"/>
      <c r="J78" s="25"/>
      <c r="K78" s="25"/>
      <c r="L78" s="25"/>
      <c r="M78" s="25"/>
      <c r="N78" s="23"/>
      <c r="O78" s="23"/>
      <c r="P78" s="23"/>
      <c r="Q78" s="23">
        <f>9*0.6</f>
        <v>5.3999999999999995</v>
      </c>
      <c r="R78" s="23"/>
      <c r="S78" s="25"/>
      <c r="T78" s="25"/>
      <c r="U78" s="25"/>
      <c r="V78" s="25"/>
      <c r="W78" s="25">
        <f>12*1.75</f>
        <v>21</v>
      </c>
      <c r="X78" s="25"/>
      <c r="Y78" s="25"/>
      <c r="Z78" s="25"/>
      <c r="AA78" s="25"/>
      <c r="AB78" s="25"/>
      <c r="AC78" s="25"/>
      <c r="AD78" s="25"/>
    </row>
    <row r="79" spans="1:30" ht="8.25">
      <c r="A79" s="18">
        <f>SUM(0+D79)</f>
        <v>25.2</v>
      </c>
      <c r="B79" s="19" t="s">
        <v>281</v>
      </c>
      <c r="C79" s="20" t="s">
        <v>24</v>
      </c>
      <c r="D79" s="25">
        <f>SUM(E79:AD79)</f>
        <v>25.2</v>
      </c>
      <c r="E79" s="25"/>
      <c r="F79" s="25"/>
      <c r="G79" s="25"/>
      <c r="H79" s="25"/>
      <c r="I79" s="25"/>
      <c r="J79" s="25"/>
      <c r="K79" s="25"/>
      <c r="L79" s="25"/>
      <c r="M79" s="25"/>
      <c r="N79" s="23"/>
      <c r="O79" s="23"/>
      <c r="P79" s="23"/>
      <c r="Q79" s="23"/>
      <c r="R79" s="23"/>
      <c r="S79" s="25"/>
      <c r="T79" s="25">
        <f>21*1.2</f>
        <v>25.2</v>
      </c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8.25">
      <c r="A80" s="18">
        <f>SUM(0+D80)</f>
        <v>23.54</v>
      </c>
      <c r="B80" s="19" t="s">
        <v>218</v>
      </c>
      <c r="C80" s="20" t="s">
        <v>7</v>
      </c>
      <c r="D80" s="25">
        <f>SUM(E80:AD80)</f>
        <v>23.54</v>
      </c>
      <c r="E80" s="25"/>
      <c r="F80" s="23"/>
      <c r="G80" s="23"/>
      <c r="H80" s="23"/>
      <c r="I80" s="23"/>
      <c r="J80" s="23">
        <f>11*1.1</f>
        <v>12.100000000000001</v>
      </c>
      <c r="K80" s="23"/>
      <c r="L80" s="23">
        <f>26*0.44</f>
        <v>11.44</v>
      </c>
      <c r="M80" s="23"/>
      <c r="N80" s="23"/>
      <c r="O80" s="23"/>
      <c r="P80" s="23"/>
      <c r="Q80" s="23"/>
      <c r="R80" s="23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ht="8.25">
      <c r="A81" s="18">
        <f>SUM(0+D81)</f>
        <v>22.75</v>
      </c>
      <c r="B81" s="19" t="s">
        <v>291</v>
      </c>
      <c r="C81" s="20" t="s">
        <v>37</v>
      </c>
      <c r="D81" s="25">
        <f>SUM(E81:AD81)</f>
        <v>22.75</v>
      </c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3"/>
      <c r="P81" s="23"/>
      <c r="Q81" s="23"/>
      <c r="R81" s="23"/>
      <c r="S81" s="25"/>
      <c r="T81" s="25"/>
      <c r="U81" s="25"/>
      <c r="V81" s="25"/>
      <c r="W81" s="25">
        <f>13*1.75</f>
        <v>22.75</v>
      </c>
      <c r="X81" s="25"/>
      <c r="Y81" s="25"/>
      <c r="Z81" s="25"/>
      <c r="AA81" s="25"/>
      <c r="AB81" s="25"/>
      <c r="AC81" s="25"/>
      <c r="AD81" s="25"/>
    </row>
    <row r="82" spans="1:30" ht="8.25">
      <c r="A82" s="18">
        <f>SUM(0+D82)</f>
        <v>22.08</v>
      </c>
      <c r="B82" s="19" t="s">
        <v>230</v>
      </c>
      <c r="C82" s="20" t="s">
        <v>21</v>
      </c>
      <c r="D82" s="25">
        <f>SUM(E82:AD82)</f>
        <v>22.08</v>
      </c>
      <c r="E82" s="25"/>
      <c r="F82" s="23"/>
      <c r="G82" s="25"/>
      <c r="H82" s="25"/>
      <c r="I82" s="23">
        <f>14*0.96</f>
        <v>13.44</v>
      </c>
      <c r="J82" s="23"/>
      <c r="K82" s="23"/>
      <c r="L82" s="23"/>
      <c r="M82" s="23"/>
      <c r="N82" s="23"/>
      <c r="O82" s="23"/>
      <c r="P82" s="23"/>
      <c r="Q82" s="23"/>
      <c r="R82" s="23"/>
      <c r="S82" s="25"/>
      <c r="T82" s="25"/>
      <c r="U82" s="25"/>
      <c r="V82" s="25"/>
      <c r="W82" s="25"/>
      <c r="X82" s="25"/>
      <c r="Y82" s="25">
        <f>8*1.08</f>
        <v>8.64</v>
      </c>
      <c r="Z82" s="25"/>
      <c r="AA82" s="25"/>
      <c r="AB82" s="25"/>
      <c r="AC82" s="25"/>
      <c r="AD82" s="25"/>
    </row>
    <row r="83" spans="1:30" ht="8.25">
      <c r="A83" s="18">
        <f>SUM(0+D83)</f>
        <v>19.8</v>
      </c>
      <c r="B83" s="19" t="s">
        <v>301</v>
      </c>
      <c r="C83" s="20" t="s">
        <v>302</v>
      </c>
      <c r="D83" s="25">
        <f>SUM(E83:AD83)</f>
        <v>19.8</v>
      </c>
      <c r="E83" s="25"/>
      <c r="F83" s="25"/>
      <c r="G83" s="25"/>
      <c r="H83" s="25"/>
      <c r="I83" s="25"/>
      <c r="J83" s="25"/>
      <c r="K83" s="25"/>
      <c r="L83" s="25"/>
      <c r="M83" s="25"/>
      <c r="N83" s="23"/>
      <c r="O83" s="23"/>
      <c r="P83" s="23"/>
      <c r="Q83" s="23">
        <f>33*0.6</f>
        <v>19.8</v>
      </c>
      <c r="R83" s="23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ht="8.25">
      <c r="A84" s="18">
        <f>SUM(0+D84)</f>
        <v>18.2</v>
      </c>
      <c r="B84" s="19" t="s">
        <v>245</v>
      </c>
      <c r="C84" s="20" t="s">
        <v>37</v>
      </c>
      <c r="D84" s="25">
        <f>SUM(E84:AD84)</f>
        <v>18.2</v>
      </c>
      <c r="E84" s="25"/>
      <c r="F84" s="25"/>
      <c r="G84" s="25"/>
      <c r="H84" s="25"/>
      <c r="I84" s="25"/>
      <c r="J84" s="23"/>
      <c r="K84" s="23">
        <f>28*0.65</f>
        <v>18.2</v>
      </c>
      <c r="L84" s="23"/>
      <c r="M84" s="23"/>
      <c r="N84" s="23"/>
      <c r="O84" s="23"/>
      <c r="P84" s="23"/>
      <c r="Q84" s="23"/>
      <c r="R84" s="23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ht="8.25">
      <c r="A85" s="18">
        <f>SUM(0+D85)</f>
        <v>16.78</v>
      </c>
      <c r="B85" s="19" t="s">
        <v>209</v>
      </c>
      <c r="C85" s="20" t="s">
        <v>7</v>
      </c>
      <c r="D85" s="25">
        <f>SUM(E85:AD85)</f>
        <v>16.78</v>
      </c>
      <c r="E85" s="25"/>
      <c r="F85" s="23"/>
      <c r="G85" s="23">
        <f>7*1.14</f>
        <v>7.9799999999999995</v>
      </c>
      <c r="H85" s="23"/>
      <c r="I85" s="23"/>
      <c r="J85" s="23">
        <f>8*1.1</f>
        <v>8.8</v>
      </c>
      <c r="K85" s="23"/>
      <c r="L85" s="23"/>
      <c r="M85" s="25"/>
      <c r="N85" s="23"/>
      <c r="O85" s="23"/>
      <c r="P85" s="23"/>
      <c r="Q85" s="23"/>
      <c r="R85" s="23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ht="8.25">
      <c r="A86" s="18">
        <f>SUM(0+D86)</f>
        <v>15.959999999999999</v>
      </c>
      <c r="B86" s="19" t="s">
        <v>207</v>
      </c>
      <c r="C86" s="20" t="s">
        <v>7</v>
      </c>
      <c r="D86" s="25">
        <f>SUM(E86:AD86)</f>
        <v>15.959999999999999</v>
      </c>
      <c r="E86" s="23"/>
      <c r="F86" s="23"/>
      <c r="G86" s="23">
        <f>14*1.14</f>
        <v>15.959999999999999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ht="8.25">
      <c r="A87" s="18">
        <f>SUM(0+D87)</f>
        <v>15.200000000000001</v>
      </c>
      <c r="B87" s="19" t="s">
        <v>274</v>
      </c>
      <c r="C87" s="20" t="s">
        <v>17</v>
      </c>
      <c r="D87" s="25">
        <f>SUM(E87:AD87)</f>
        <v>15.200000000000001</v>
      </c>
      <c r="E87" s="25"/>
      <c r="F87" s="25"/>
      <c r="G87" s="25"/>
      <c r="H87" s="25"/>
      <c r="I87" s="25"/>
      <c r="J87" s="23"/>
      <c r="K87" s="23"/>
      <c r="L87" s="23"/>
      <c r="M87" s="23"/>
      <c r="N87" s="23"/>
      <c r="O87" s="23"/>
      <c r="P87" s="23"/>
      <c r="Q87" s="23"/>
      <c r="R87" s="23"/>
      <c r="S87" s="25">
        <f>76*0.2</f>
        <v>15.200000000000001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8.25">
      <c r="A88" s="18">
        <f>SUM(0+D88)</f>
        <v>15.13</v>
      </c>
      <c r="B88" s="19" t="s">
        <v>265</v>
      </c>
      <c r="C88" s="20" t="s">
        <v>17</v>
      </c>
      <c r="D88" s="25">
        <f>SUM(E88:AD88)</f>
        <v>15.13</v>
      </c>
      <c r="E88" s="25"/>
      <c r="F88" s="25"/>
      <c r="G88" s="25"/>
      <c r="H88" s="25"/>
      <c r="I88" s="25"/>
      <c r="J88" s="25"/>
      <c r="K88" s="25"/>
      <c r="L88" s="25"/>
      <c r="M88" s="25"/>
      <c r="N88" s="23"/>
      <c r="O88" s="23">
        <f>17*0.89</f>
        <v>15.13</v>
      </c>
      <c r="P88" s="23"/>
      <c r="Q88" s="23"/>
      <c r="R88" s="23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8.25">
      <c r="A89" s="26">
        <f>SUM(0+D89)</f>
        <v>14.74</v>
      </c>
      <c r="B89" s="19" t="s">
        <v>219</v>
      </c>
      <c r="C89" s="20" t="s">
        <v>37</v>
      </c>
      <c r="D89" s="25">
        <f>SUM(E89:AD89)</f>
        <v>14.74</v>
      </c>
      <c r="E89" s="23"/>
      <c r="F89" s="23"/>
      <c r="G89" s="23"/>
      <c r="H89" s="23"/>
      <c r="I89" s="23"/>
      <c r="J89" s="23">
        <f>9*1.1</f>
        <v>9.9</v>
      </c>
      <c r="K89" s="23"/>
      <c r="L89" s="23">
        <f>11*0.44</f>
        <v>4.84</v>
      </c>
      <c r="M89" s="25"/>
      <c r="N89" s="23"/>
      <c r="O89" s="23"/>
      <c r="P89" s="23"/>
      <c r="Q89" s="23"/>
      <c r="R89" s="23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8.25">
      <c r="A90" s="18">
        <f>SUM(0+D90)</f>
        <v>14.48</v>
      </c>
      <c r="B90" s="19" t="s">
        <v>225</v>
      </c>
      <c r="C90" s="20" t="s">
        <v>17</v>
      </c>
      <c r="D90" s="25">
        <f>SUM(E90:AD90)</f>
        <v>14.48</v>
      </c>
      <c r="E90" s="23"/>
      <c r="F90" s="23"/>
      <c r="G90" s="23"/>
      <c r="H90" s="23">
        <f>8*0.27</f>
        <v>2.16</v>
      </c>
      <c r="I90" s="23"/>
      <c r="J90" s="23"/>
      <c r="K90" s="23"/>
      <c r="L90" s="23"/>
      <c r="M90" s="23"/>
      <c r="N90" s="23"/>
      <c r="O90" s="23"/>
      <c r="P90" s="23"/>
      <c r="Q90" s="23"/>
      <c r="R90" s="23">
        <f>56*0.22</f>
        <v>12.32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8.25">
      <c r="A91" s="18">
        <f>SUM(0+D91)</f>
        <v>11.700000000000001</v>
      </c>
      <c r="B91" s="19" t="s">
        <v>51</v>
      </c>
      <c r="C91" s="20" t="s">
        <v>21</v>
      </c>
      <c r="D91" s="25">
        <f>SUM(E91:AD91)</f>
        <v>11.700000000000001</v>
      </c>
      <c r="E91" s="25"/>
      <c r="F91" s="25"/>
      <c r="G91" s="25"/>
      <c r="H91" s="25"/>
      <c r="I91" s="25"/>
      <c r="J91" s="23"/>
      <c r="K91" s="23">
        <f>18*0.65</f>
        <v>11.700000000000001</v>
      </c>
      <c r="L91" s="23"/>
      <c r="M91" s="23"/>
      <c r="N91" s="23"/>
      <c r="O91" s="23"/>
      <c r="P91" s="23"/>
      <c r="Q91" s="23"/>
      <c r="R91" s="23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8.25">
      <c r="A92" s="18">
        <f>SUM(0+D92)</f>
        <v>11.57</v>
      </c>
      <c r="B92" s="19" t="s">
        <v>16</v>
      </c>
      <c r="C92" s="20" t="s">
        <v>14</v>
      </c>
      <c r="D92" s="25">
        <f>SUM(E92:AD92)</f>
        <v>11.57</v>
      </c>
      <c r="E92" s="23"/>
      <c r="F92" s="23"/>
      <c r="G92" s="23"/>
      <c r="H92" s="23"/>
      <c r="I92" s="23"/>
      <c r="J92" s="23"/>
      <c r="K92" s="23">
        <f>8*0.65</f>
        <v>5.2</v>
      </c>
      <c r="L92" s="23"/>
      <c r="M92" s="23"/>
      <c r="N92" s="23"/>
      <c r="O92" s="23"/>
      <c r="P92" s="23"/>
      <c r="Q92" s="23"/>
      <c r="R92" s="23"/>
      <c r="S92" s="25"/>
      <c r="T92" s="25"/>
      <c r="U92" s="25"/>
      <c r="V92" s="25">
        <f>7*0.91</f>
        <v>6.37</v>
      </c>
      <c r="W92" s="25"/>
      <c r="X92" s="25"/>
      <c r="Y92" s="25"/>
      <c r="Z92" s="25"/>
      <c r="AA92" s="25"/>
      <c r="AB92" s="25"/>
      <c r="AC92" s="25"/>
      <c r="AD92" s="25"/>
    </row>
    <row r="93" spans="1:30" ht="8.25">
      <c r="A93" s="18">
        <f>SUM(0+D93)</f>
        <v>11.05</v>
      </c>
      <c r="B93" s="19" t="s">
        <v>246</v>
      </c>
      <c r="C93" s="20" t="s">
        <v>247</v>
      </c>
      <c r="D93" s="25">
        <f>SUM(E93:AD93)</f>
        <v>11.05</v>
      </c>
      <c r="E93" s="25"/>
      <c r="F93" s="25"/>
      <c r="G93" s="25"/>
      <c r="H93" s="25"/>
      <c r="I93" s="25"/>
      <c r="J93" s="25"/>
      <c r="K93" s="23">
        <f>17*0.65</f>
        <v>11.05</v>
      </c>
      <c r="L93" s="25"/>
      <c r="M93" s="25"/>
      <c r="N93" s="23"/>
      <c r="O93" s="23"/>
      <c r="P93" s="23"/>
      <c r="Q93" s="23"/>
      <c r="R93" s="23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8.25">
      <c r="A94" s="18">
        <f>SUM(0+D94)</f>
        <v>10.5</v>
      </c>
      <c r="B94" s="19" t="s">
        <v>259</v>
      </c>
      <c r="C94" s="20" t="s">
        <v>5</v>
      </c>
      <c r="D94" s="25">
        <f>SUM(E94:AD94)</f>
        <v>10.5</v>
      </c>
      <c r="E94" s="25"/>
      <c r="F94" s="25"/>
      <c r="G94" s="25"/>
      <c r="H94" s="25"/>
      <c r="I94" s="25"/>
      <c r="J94" s="25"/>
      <c r="K94" s="25"/>
      <c r="L94" s="25"/>
      <c r="M94" s="25"/>
      <c r="N94" s="23"/>
      <c r="O94" s="23"/>
      <c r="P94" s="23">
        <f>42*0.25</f>
        <v>10.5</v>
      </c>
      <c r="Q94" s="23"/>
      <c r="R94" s="23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8.25">
      <c r="A95" s="18">
        <f>SUM(0+D95)</f>
        <v>10.26</v>
      </c>
      <c r="B95" s="19" t="s">
        <v>208</v>
      </c>
      <c r="C95" s="20" t="s">
        <v>7</v>
      </c>
      <c r="D95" s="25">
        <f>SUM(E95:AD95)</f>
        <v>10.26</v>
      </c>
      <c r="E95" s="25"/>
      <c r="F95" s="23"/>
      <c r="G95" s="23">
        <f>9*1.14</f>
        <v>10.26</v>
      </c>
      <c r="H95" s="23"/>
      <c r="I95" s="23"/>
      <c r="J95" s="23"/>
      <c r="K95" s="23"/>
      <c r="L95" s="23"/>
      <c r="M95" s="25"/>
      <c r="N95" s="23"/>
      <c r="O95" s="23"/>
      <c r="P95" s="23"/>
      <c r="Q95" s="23"/>
      <c r="R95" s="23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8.25">
      <c r="A96" s="18">
        <f>SUM(0+D96)</f>
        <v>9.25</v>
      </c>
      <c r="B96" s="19" t="s">
        <v>297</v>
      </c>
      <c r="C96" s="20" t="s">
        <v>5</v>
      </c>
      <c r="D96" s="25">
        <f>SUM(E96:AD96)</f>
        <v>9.25</v>
      </c>
      <c r="E96" s="25"/>
      <c r="F96" s="25"/>
      <c r="G96" s="25"/>
      <c r="H96" s="25"/>
      <c r="I96" s="25"/>
      <c r="J96" s="25"/>
      <c r="K96" s="25"/>
      <c r="L96" s="25"/>
      <c r="M96" s="25"/>
      <c r="N96" s="23"/>
      <c r="O96" s="23"/>
      <c r="P96" s="23">
        <f>37*0.25</f>
        <v>9.25</v>
      </c>
      <c r="Q96" s="23"/>
      <c r="R96" s="23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8.25">
      <c r="A97" s="18">
        <f>SUM(0+D97)</f>
        <v>8.64</v>
      </c>
      <c r="B97" s="19" t="s">
        <v>231</v>
      </c>
      <c r="C97" s="20" t="s">
        <v>17</v>
      </c>
      <c r="D97" s="25">
        <f>SUM(E97:AD97)</f>
        <v>8.64</v>
      </c>
      <c r="E97" s="23"/>
      <c r="F97" s="23"/>
      <c r="G97" s="23"/>
      <c r="H97" s="23"/>
      <c r="I97" s="23">
        <f>9*0.96</f>
        <v>8.64</v>
      </c>
      <c r="J97" s="25"/>
      <c r="K97" s="23"/>
      <c r="L97" s="23"/>
      <c r="M97" s="25"/>
      <c r="N97" s="23"/>
      <c r="O97" s="23"/>
      <c r="P97" s="23"/>
      <c r="Q97" s="23"/>
      <c r="R97" s="23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8.25">
      <c r="A98" s="18">
        <f>SUM(0+D98)</f>
        <v>8.64</v>
      </c>
      <c r="B98" s="19" t="s">
        <v>103</v>
      </c>
      <c r="C98" s="20" t="s">
        <v>14</v>
      </c>
      <c r="D98" s="25">
        <f>SUM(E98:AD98)</f>
        <v>8.64</v>
      </c>
      <c r="E98" s="25"/>
      <c r="F98" s="25"/>
      <c r="G98" s="25"/>
      <c r="H98" s="25"/>
      <c r="I98" s="25"/>
      <c r="J98" s="25"/>
      <c r="K98" s="25"/>
      <c r="L98" s="25"/>
      <c r="M98" s="25"/>
      <c r="N98" s="23"/>
      <c r="O98" s="23"/>
      <c r="P98" s="23"/>
      <c r="Q98" s="23"/>
      <c r="R98" s="23"/>
      <c r="S98" s="25"/>
      <c r="T98" s="25"/>
      <c r="U98" s="25"/>
      <c r="V98" s="25"/>
      <c r="W98" s="25"/>
      <c r="X98" s="25"/>
      <c r="Y98" s="25">
        <f>8*1.08</f>
        <v>8.64</v>
      </c>
      <c r="Z98" s="25"/>
      <c r="AA98" s="25"/>
      <c r="AB98" s="25"/>
      <c r="AC98" s="25"/>
      <c r="AD98" s="25"/>
    </row>
    <row r="99" spans="1:30" ht="8.25">
      <c r="A99" s="18">
        <f>SUM(0+D99)</f>
        <v>8.6</v>
      </c>
      <c r="B99" s="19" t="s">
        <v>275</v>
      </c>
      <c r="C99" s="20" t="s">
        <v>17</v>
      </c>
      <c r="D99" s="25">
        <f>SUM(E99:AD99)</f>
        <v>8.6</v>
      </c>
      <c r="E99" s="25"/>
      <c r="F99" s="25"/>
      <c r="G99" s="25"/>
      <c r="H99" s="25"/>
      <c r="I99" s="25"/>
      <c r="J99" s="23"/>
      <c r="K99" s="23"/>
      <c r="L99" s="23"/>
      <c r="M99" s="23"/>
      <c r="N99" s="23"/>
      <c r="O99" s="23"/>
      <c r="P99" s="23"/>
      <c r="Q99" s="23"/>
      <c r="R99" s="23"/>
      <c r="S99" s="25">
        <f>43*0.2</f>
        <v>8.6</v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8.25">
      <c r="A100" s="18">
        <f>SUM(0+D100)</f>
        <v>6.23</v>
      </c>
      <c r="B100" s="19" t="s">
        <v>266</v>
      </c>
      <c r="C100" s="20" t="s">
        <v>17</v>
      </c>
      <c r="D100" s="25">
        <f>SUM(E100:AD100)</f>
        <v>6.23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3"/>
      <c r="O100" s="23">
        <f>7*0.89</f>
        <v>6.23</v>
      </c>
      <c r="P100" s="23"/>
      <c r="Q100" s="23"/>
      <c r="R100" s="23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8.25">
      <c r="A101" s="18">
        <f>SUM(0+D101)</f>
        <v>5.8500000000000005</v>
      </c>
      <c r="B101" s="19" t="s">
        <v>248</v>
      </c>
      <c r="C101" s="20" t="s">
        <v>247</v>
      </c>
      <c r="D101" s="25">
        <f>SUM(E101:AD101)</f>
        <v>5.8500000000000005</v>
      </c>
      <c r="E101" s="25"/>
      <c r="F101" s="25"/>
      <c r="G101" s="25"/>
      <c r="H101" s="25"/>
      <c r="I101" s="25"/>
      <c r="J101" s="25"/>
      <c r="K101" s="23">
        <f>9*0.65</f>
        <v>5.8500000000000005</v>
      </c>
      <c r="L101" s="25"/>
      <c r="M101" s="25"/>
      <c r="N101" s="23"/>
      <c r="O101" s="23"/>
      <c r="P101" s="23"/>
      <c r="Q101" s="23"/>
      <c r="R101" s="23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8.25">
      <c r="A102" s="18">
        <f>SUM(0+D102)</f>
        <v>5.72</v>
      </c>
      <c r="B102" s="19" t="s">
        <v>270</v>
      </c>
      <c r="C102" s="20" t="s">
        <v>17</v>
      </c>
      <c r="D102" s="25">
        <f>SUM(E102:AD102)</f>
        <v>5.72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f>26*0.22</f>
        <v>5.72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8.25">
      <c r="A103" s="18">
        <f>SUM(0+D103)</f>
        <v>5.3999999999999995</v>
      </c>
      <c r="B103" s="19" t="s">
        <v>303</v>
      </c>
      <c r="C103" s="20" t="s">
        <v>35</v>
      </c>
      <c r="D103" s="25">
        <f>SUM(E103:AD103)</f>
        <v>5.3999999999999995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3"/>
      <c r="O103" s="23"/>
      <c r="P103" s="23"/>
      <c r="Q103" s="23">
        <f>9*0.6</f>
        <v>5.3999999999999995</v>
      </c>
      <c r="R103" s="23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8.25">
      <c r="A104" s="18">
        <f>SUM(0+D104)</f>
        <v>4.16</v>
      </c>
      <c r="B104" s="19" t="s">
        <v>239</v>
      </c>
      <c r="C104" s="20" t="s">
        <v>5</v>
      </c>
      <c r="D104" s="25">
        <f>SUM(E104:AD104)</f>
        <v>4.16</v>
      </c>
      <c r="E104" s="23"/>
      <c r="F104" s="23">
        <f>26*0.16</f>
        <v>4.16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8.25">
      <c r="A105" s="18">
        <f>SUM(0+D105)</f>
        <v>0</v>
      </c>
      <c r="B105" s="19"/>
      <c r="C105" s="20"/>
      <c r="D105" s="25">
        <f>SUM(E105:AD105)</f>
        <v>0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3"/>
      <c r="O105" s="23"/>
      <c r="P105" s="23"/>
      <c r="Q105" s="23"/>
      <c r="R105" s="23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8.25">
      <c r="A106" s="18">
        <f>SUM(0+D106)</f>
        <v>0</v>
      </c>
      <c r="B106" s="19"/>
      <c r="C106" s="20"/>
      <c r="D106" s="25">
        <f>SUM(E106:AD106)</f>
        <v>0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3"/>
      <c r="O106" s="23"/>
      <c r="P106" s="23"/>
      <c r="Q106" s="23"/>
      <c r="R106" s="23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8.25">
      <c r="A107" s="18">
        <f>SUM(0+D107)</f>
        <v>0</v>
      </c>
      <c r="B107" s="19"/>
      <c r="C107" s="20"/>
      <c r="D107" s="25">
        <f>SUM(E107:AD107)</f>
        <v>0</v>
      </c>
      <c r="E107" s="23"/>
      <c r="F107" s="23"/>
      <c r="G107" s="23"/>
      <c r="H107" s="23"/>
      <c r="I107" s="23"/>
      <c r="J107" s="25"/>
      <c r="K107" s="25"/>
      <c r="L107" s="25"/>
      <c r="M107" s="25"/>
      <c r="N107" s="25"/>
      <c r="O107" s="25"/>
      <c r="P107" s="25"/>
      <c r="Q107" s="25"/>
      <c r="R107" s="23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5:30" ht="8.25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5:30" ht="8.25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5:30" ht="8.25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5:30" ht="8.25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5:30" ht="8.25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5:30" ht="8.25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5:30" ht="8.25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5:30" ht="8.25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5:30" ht="8.25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5:30" ht="8.25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5:30" ht="8.25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5:30" ht="8.25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5:30" ht="8.25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5:30" ht="8.25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5:30" ht="8.25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5:30" ht="8.25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5:30" ht="8.25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5:30" ht="8.25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5:30" ht="8.25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5:30" ht="8.25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5:30" ht="8.25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5:30" ht="8.25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5:30" ht="8.25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5:30" ht="8.25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5:30" ht="8.25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5:30" ht="8.25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5:30" ht="8.25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5:30" ht="8.25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5:30" ht="8.25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5:30" ht="8.25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5:30" ht="8.25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5:30" ht="8.25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5:30" ht="8.25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5:30" ht="8.25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5:30" ht="8.25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5:30" ht="8.25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5:18" ht="8.25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5:18" ht="8.25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5:18" ht="8.25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5:18" ht="8.25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5:18" ht="8.25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5:18" ht="8.25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5:18" ht="8.25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5:18" ht="8.25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5:18" ht="8.25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5:18" ht="8.25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5:18" ht="8.25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5:18" ht="8.25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5:18" ht="8.25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5:18" ht="8.25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5:18" ht="8.25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</sheetData>
  <sheetProtection/>
  <printOptions/>
  <pageMargins left="0" right="0" top="0.984251968503937" bottom="0.196850393700787" header="0.31496062992126" footer="0.511811023622047"/>
  <pageSetup horizontalDpi="300" verticalDpi="300" orientation="landscape" paperSize="9" r:id="rId1"/>
  <headerFooter alignWithMargins="0">
    <oddHeader>&amp;CRANKING NACIONAL DAS RAÇAS PÔNEIS
MELHOR EXPOSITOR - 2004
RAÇA PÔNEI BRASILEIRO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986"/>
  <sheetViews>
    <sheetView tabSelected="1" zoomScale="105" zoomScaleNormal="105" zoomScalePageLayoutView="0" workbookViewId="0" topLeftCell="B1">
      <selection activeCell="D27" sqref="D27"/>
    </sheetView>
  </sheetViews>
  <sheetFormatPr defaultColWidth="9.140625" defaultRowHeight="12.75"/>
  <cols>
    <col min="1" max="1" width="5.140625" style="28" customWidth="1"/>
    <col min="2" max="2" width="20.28125" style="24" customWidth="1"/>
    <col min="3" max="3" width="3.140625" style="5" customWidth="1"/>
    <col min="4" max="4" width="5.421875" style="34" customWidth="1"/>
    <col min="5" max="12" width="7.7109375" style="24" customWidth="1"/>
    <col min="13" max="31" width="6.7109375" style="24" customWidth="1"/>
    <col min="32" max="16384" width="9.140625" style="24" customWidth="1"/>
  </cols>
  <sheetData>
    <row r="1" spans="1:31" s="5" customFormat="1" ht="8.25" customHeight="1">
      <c r="A1" s="1">
        <v>9999</v>
      </c>
      <c r="B1" s="54"/>
      <c r="C1" s="2" t="s">
        <v>4</v>
      </c>
      <c r="D1" s="3" t="s">
        <v>1</v>
      </c>
      <c r="E1" s="3" t="s">
        <v>0</v>
      </c>
      <c r="F1" s="3" t="s">
        <v>236</v>
      </c>
      <c r="G1" s="3" t="s">
        <v>201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  <c r="N1" s="3" t="s">
        <v>255</v>
      </c>
      <c r="O1" s="3" t="s">
        <v>178</v>
      </c>
      <c r="P1" s="3" t="s">
        <v>173</v>
      </c>
      <c r="Q1" s="3" t="s">
        <v>299</v>
      </c>
      <c r="R1" s="3" t="s">
        <v>269</v>
      </c>
      <c r="S1" s="2" t="s">
        <v>48</v>
      </c>
      <c r="T1" s="2" t="s">
        <v>276</v>
      </c>
      <c r="U1" s="2" t="s">
        <v>129</v>
      </c>
      <c r="V1" s="2" t="s">
        <v>131</v>
      </c>
      <c r="W1" s="2" t="s">
        <v>286</v>
      </c>
      <c r="X1" s="2" t="s">
        <v>135</v>
      </c>
      <c r="Y1" s="2" t="s">
        <v>114</v>
      </c>
      <c r="Z1" s="2"/>
      <c r="AA1" s="2"/>
      <c r="AB1" s="2"/>
      <c r="AC1" s="2"/>
      <c r="AD1" s="2"/>
      <c r="AE1" s="2"/>
    </row>
    <row r="2" spans="1:31" s="5" customFormat="1" ht="8.25" customHeight="1">
      <c r="A2" s="1">
        <v>9998</v>
      </c>
      <c r="B2" s="56" t="s">
        <v>31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  <c r="N2" s="8" t="s">
        <v>256</v>
      </c>
      <c r="O2" s="8" t="s">
        <v>260</v>
      </c>
      <c r="P2" s="8" t="s">
        <v>296</v>
      </c>
      <c r="Q2" s="8" t="s">
        <v>300</v>
      </c>
      <c r="R2" s="8" t="s">
        <v>268</v>
      </c>
      <c r="S2" s="8" t="s">
        <v>271</v>
      </c>
      <c r="T2" s="8" t="s">
        <v>277</v>
      </c>
      <c r="U2" s="8" t="s">
        <v>294</v>
      </c>
      <c r="V2" s="8" t="s">
        <v>294</v>
      </c>
      <c r="W2" s="8" t="s">
        <v>287</v>
      </c>
      <c r="X2" s="8" t="s">
        <v>307</v>
      </c>
      <c r="Y2" s="8" t="s">
        <v>305</v>
      </c>
      <c r="Z2" s="8"/>
      <c r="AA2" s="8"/>
      <c r="AB2" s="8"/>
      <c r="AC2" s="8"/>
      <c r="AD2" s="8"/>
      <c r="AE2" s="8"/>
    </row>
    <row r="3" spans="1:31" s="13" customFormat="1" ht="8.25" customHeight="1">
      <c r="A3" s="1">
        <v>9997</v>
      </c>
      <c r="B3" s="55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  <c r="N3" s="11">
        <v>0.38</v>
      </c>
      <c r="O3" s="11">
        <v>0.89</v>
      </c>
      <c r="P3" s="11">
        <v>0.25</v>
      </c>
      <c r="Q3" s="11">
        <v>0.6</v>
      </c>
      <c r="R3" s="11">
        <v>0.22</v>
      </c>
      <c r="S3" s="12">
        <v>0.2</v>
      </c>
      <c r="T3" s="40" t="s">
        <v>278</v>
      </c>
      <c r="U3" s="40" t="s">
        <v>293</v>
      </c>
      <c r="V3" s="40" t="s">
        <v>309</v>
      </c>
      <c r="W3" s="40" t="s">
        <v>288</v>
      </c>
      <c r="X3" s="40" t="s">
        <v>308</v>
      </c>
      <c r="Y3" s="40" t="s">
        <v>306</v>
      </c>
      <c r="Z3" s="40"/>
      <c r="AA3" s="40"/>
      <c r="AB3" s="40"/>
      <c r="AC3" s="40"/>
      <c r="AD3" s="40"/>
      <c r="AE3" s="40"/>
    </row>
    <row r="4" spans="1:31" s="5" customFormat="1" ht="8.25" customHeight="1">
      <c r="A4" s="1">
        <v>9996</v>
      </c>
      <c r="B4" s="41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43"/>
    </row>
    <row r="5" spans="1:31" ht="8.25" customHeight="1">
      <c r="A5" s="18">
        <f>SUM(0+D5)</f>
        <v>2176.37</v>
      </c>
      <c r="B5" s="19" t="s">
        <v>23</v>
      </c>
      <c r="C5" s="20" t="s">
        <v>24</v>
      </c>
      <c r="D5" s="25">
        <v>2176.37</v>
      </c>
      <c r="E5" s="57">
        <f>35*2.07</f>
        <v>72.44999999999999</v>
      </c>
      <c r="F5" s="23"/>
      <c r="G5" s="23">
        <f>8*1.14</f>
        <v>9.12</v>
      </c>
      <c r="H5" s="23"/>
      <c r="I5" s="23">
        <f>455*0.96</f>
        <v>436.8</v>
      </c>
      <c r="J5" s="25"/>
      <c r="K5" s="25">
        <f>52*0.65</f>
        <v>33.800000000000004</v>
      </c>
      <c r="L5" s="25"/>
      <c r="M5" s="23"/>
      <c r="N5" s="23"/>
      <c r="O5" s="23"/>
      <c r="P5" s="23"/>
      <c r="Q5" s="23">
        <f>18*0.6</f>
        <v>10.799999999999999</v>
      </c>
      <c r="R5" s="23"/>
      <c r="S5" s="25"/>
      <c r="T5" s="58">
        <f>477*1.2</f>
        <v>572.4</v>
      </c>
      <c r="U5" s="25"/>
      <c r="V5" s="58">
        <f>518*0.91</f>
        <v>471.38</v>
      </c>
      <c r="W5" s="58">
        <f>354*1.75</f>
        <v>619.5</v>
      </c>
      <c r="X5" s="25">
        <f>51*0.48</f>
        <v>24.48</v>
      </c>
      <c r="Y5" s="58">
        <f>408*1.08</f>
        <v>440.64000000000004</v>
      </c>
      <c r="Z5" s="25"/>
      <c r="AA5" s="25"/>
      <c r="AB5" s="25"/>
      <c r="AC5" s="25"/>
      <c r="AD5" s="25"/>
      <c r="AE5" s="25"/>
    </row>
    <row r="6" spans="1:31" ht="8.25" customHeight="1">
      <c r="A6" s="18">
        <f>SUM(0+D6)</f>
        <v>1964.17</v>
      </c>
      <c r="B6" s="19" t="s">
        <v>18</v>
      </c>
      <c r="C6" s="20" t="s">
        <v>14</v>
      </c>
      <c r="D6" s="25">
        <v>1964.17</v>
      </c>
      <c r="E6" s="57">
        <f>168*2.07</f>
        <v>347.76</v>
      </c>
      <c r="F6" s="23">
        <f>89*0.16</f>
        <v>14.24</v>
      </c>
      <c r="G6" s="57">
        <f>554*1.14</f>
        <v>631.56</v>
      </c>
      <c r="H6" s="23"/>
      <c r="I6" s="23">
        <f>124*0.96</f>
        <v>119.03999999999999</v>
      </c>
      <c r="J6" s="58">
        <f>421*1.1</f>
        <v>463.1</v>
      </c>
      <c r="K6" s="25">
        <f>193*0.65</f>
        <v>125.45</v>
      </c>
      <c r="L6" s="25">
        <f>64*0.44</f>
        <v>28.16</v>
      </c>
      <c r="M6" s="58">
        <v>331</v>
      </c>
      <c r="N6" s="23">
        <f>120*0.38</f>
        <v>45.6</v>
      </c>
      <c r="O6" s="23"/>
      <c r="P6" s="23">
        <f>93*0.25</f>
        <v>23.25</v>
      </c>
      <c r="Q6" s="23">
        <f>16*0.6</f>
        <v>9.6</v>
      </c>
      <c r="R6" s="23"/>
      <c r="S6" s="25"/>
      <c r="T6" s="25">
        <f>68*1.2</f>
        <v>81.6</v>
      </c>
      <c r="U6" s="25">
        <f>51*0.13</f>
        <v>6.63</v>
      </c>
      <c r="V6" s="25">
        <f>106*0.91</f>
        <v>96.46000000000001</v>
      </c>
      <c r="W6" s="58">
        <f>109*1.75</f>
        <v>190.75</v>
      </c>
      <c r="X6" s="25">
        <f>235*0.48</f>
        <v>112.8</v>
      </c>
      <c r="Y6" s="25">
        <f>143*1.08</f>
        <v>154.44</v>
      </c>
      <c r="Z6" s="25"/>
      <c r="AA6" s="25"/>
      <c r="AB6" s="25"/>
      <c r="AC6" s="25"/>
      <c r="AD6" s="25"/>
      <c r="AE6" s="25"/>
    </row>
    <row r="7" spans="1:31" ht="8.25" customHeight="1">
      <c r="A7" s="18">
        <f>SUM(0+D7)</f>
        <v>1438.93</v>
      </c>
      <c r="B7" s="19" t="s">
        <v>183</v>
      </c>
      <c r="C7" s="20" t="s">
        <v>7</v>
      </c>
      <c r="D7" s="25">
        <v>1438.93</v>
      </c>
      <c r="E7" s="57">
        <f>244*2.07</f>
        <v>505.08</v>
      </c>
      <c r="F7" s="23"/>
      <c r="G7" s="57">
        <f>125*1.14</f>
        <v>142.5</v>
      </c>
      <c r="H7" s="23"/>
      <c r="I7" s="23">
        <f>32*0.96</f>
        <v>30.72</v>
      </c>
      <c r="J7" s="58">
        <f>171*1.1</f>
        <v>188.10000000000002</v>
      </c>
      <c r="K7" s="25">
        <f>35*0.65</f>
        <v>22.75</v>
      </c>
      <c r="L7" s="25">
        <f>9*0.44</f>
        <v>3.96</v>
      </c>
      <c r="M7" s="57">
        <v>185</v>
      </c>
      <c r="N7" s="23"/>
      <c r="O7" s="23"/>
      <c r="P7" s="23"/>
      <c r="Q7" s="23">
        <f>43*0.6</f>
        <v>25.8</v>
      </c>
      <c r="R7" s="23"/>
      <c r="S7" s="25"/>
      <c r="T7" s="25"/>
      <c r="U7" s="25">
        <f>43*0.13</f>
        <v>5.59</v>
      </c>
      <c r="V7" s="25">
        <f>7*0.91</f>
        <v>6.37</v>
      </c>
      <c r="W7" s="58">
        <f>239*1.75</f>
        <v>418.25</v>
      </c>
      <c r="X7" s="25"/>
      <c r="Y7" s="25"/>
      <c r="Z7" s="25"/>
      <c r="AA7" s="25"/>
      <c r="AB7" s="25"/>
      <c r="AC7" s="25"/>
      <c r="AD7" s="25"/>
      <c r="AE7" s="25"/>
    </row>
    <row r="8" spans="1:31" ht="8.25" customHeight="1">
      <c r="A8" s="18">
        <f>SUM(0+D8)</f>
        <v>1021.47</v>
      </c>
      <c r="B8" s="19" t="s">
        <v>87</v>
      </c>
      <c r="C8" s="20" t="s">
        <v>7</v>
      </c>
      <c r="D8" s="25">
        <v>1021.47</v>
      </c>
      <c r="E8" s="57">
        <f>138*2.07</f>
        <v>285.65999999999997</v>
      </c>
      <c r="F8" s="23"/>
      <c r="G8" s="57">
        <f>159*1.14</f>
        <v>181.26</v>
      </c>
      <c r="H8" s="23"/>
      <c r="I8" s="23">
        <f>15*0.96</f>
        <v>14.399999999999999</v>
      </c>
      <c r="J8" s="58">
        <f>98*1.1</f>
        <v>107.80000000000001</v>
      </c>
      <c r="K8" s="25">
        <f>64*0.65</f>
        <v>41.6</v>
      </c>
      <c r="L8" s="25"/>
      <c r="M8" s="57">
        <v>137</v>
      </c>
      <c r="N8" s="23"/>
      <c r="O8" s="23"/>
      <c r="P8" s="23"/>
      <c r="Q8" s="23">
        <f>39*0.6</f>
        <v>23.4</v>
      </c>
      <c r="R8" s="23"/>
      <c r="S8" s="25"/>
      <c r="T8" s="25">
        <f>43*1.2</f>
        <v>51.6</v>
      </c>
      <c r="U8" s="25"/>
      <c r="V8" s="25">
        <f>86*0.91</f>
        <v>78.26</v>
      </c>
      <c r="W8" s="58">
        <f>177*1.75</f>
        <v>309.75</v>
      </c>
      <c r="X8" s="25"/>
      <c r="Y8" s="25">
        <f>79*1.08</f>
        <v>85.32000000000001</v>
      </c>
      <c r="Z8" s="25"/>
      <c r="AA8" s="25"/>
      <c r="AB8" s="25"/>
      <c r="AC8" s="25"/>
      <c r="AD8" s="25"/>
      <c r="AE8" s="25"/>
    </row>
    <row r="9" spans="1:31" ht="8.25" customHeight="1">
      <c r="A9" s="18">
        <f>SUM(0+D9)</f>
        <v>924.03</v>
      </c>
      <c r="B9" s="19" t="s">
        <v>3</v>
      </c>
      <c r="C9" s="20" t="s">
        <v>7</v>
      </c>
      <c r="D9" s="25">
        <v>924.03</v>
      </c>
      <c r="E9" s="57">
        <f>212*2.07</f>
        <v>438.84</v>
      </c>
      <c r="F9" s="23">
        <f>93*0.16</f>
        <v>14.88</v>
      </c>
      <c r="G9" s="57">
        <f>119*1.14</f>
        <v>135.66</v>
      </c>
      <c r="H9" s="23"/>
      <c r="I9" s="57">
        <f>103*0.96</f>
        <v>98.88</v>
      </c>
      <c r="J9" s="25">
        <f>67*1.1</f>
        <v>73.7</v>
      </c>
      <c r="K9" s="25">
        <f>103*0.65</f>
        <v>66.95</v>
      </c>
      <c r="L9" s="25">
        <f>33*0.44</f>
        <v>14.52</v>
      </c>
      <c r="M9" s="23">
        <v>64</v>
      </c>
      <c r="N9" s="23"/>
      <c r="O9" s="23"/>
      <c r="P9" s="23"/>
      <c r="Q9" s="57">
        <f>129*0.6</f>
        <v>77.39999999999999</v>
      </c>
      <c r="R9" s="23"/>
      <c r="S9" s="25"/>
      <c r="T9" s="25">
        <f>30*1.2</f>
        <v>36</v>
      </c>
      <c r="U9" s="25"/>
      <c r="V9" s="25">
        <f>64*0.91</f>
        <v>58.24</v>
      </c>
      <c r="W9" s="58">
        <f>99*1.75</f>
        <v>173.25</v>
      </c>
      <c r="X9" s="25">
        <f>88*0.48</f>
        <v>42.239999999999995</v>
      </c>
      <c r="Y9" s="25">
        <f>44*1.08</f>
        <v>47.52</v>
      </c>
      <c r="Z9" s="25"/>
      <c r="AA9" s="25"/>
      <c r="AB9" s="25"/>
      <c r="AC9" s="25"/>
      <c r="AD9" s="25"/>
      <c r="AE9" s="25"/>
    </row>
    <row r="10" spans="1:31" ht="8.25" customHeight="1">
      <c r="A10" s="18"/>
      <c r="B10" s="20" t="s">
        <v>33</v>
      </c>
      <c r="C10" s="20"/>
      <c r="D10" s="25"/>
      <c r="E10" s="57"/>
      <c r="F10" s="23"/>
      <c r="G10" s="57"/>
      <c r="H10" s="23"/>
      <c r="I10" s="57"/>
      <c r="J10" s="25"/>
      <c r="K10" s="25"/>
      <c r="L10" s="25"/>
      <c r="M10" s="23"/>
      <c r="N10" s="23"/>
      <c r="O10" s="23"/>
      <c r="P10" s="23"/>
      <c r="Q10" s="57"/>
      <c r="R10" s="23"/>
      <c r="S10" s="25"/>
      <c r="T10" s="25"/>
      <c r="U10" s="25"/>
      <c r="V10" s="25"/>
      <c r="W10" s="58"/>
      <c r="X10" s="25"/>
      <c r="Y10" s="25"/>
      <c r="Z10" s="25"/>
      <c r="AA10" s="25"/>
      <c r="AB10" s="25"/>
      <c r="AC10" s="25"/>
      <c r="AD10" s="25"/>
      <c r="AE10" s="25"/>
    </row>
    <row r="11" spans="1:31" ht="8.25" customHeight="1">
      <c r="A11" s="18">
        <f>SUM(0+D11)</f>
        <v>906.45</v>
      </c>
      <c r="B11" s="19" t="s">
        <v>186</v>
      </c>
      <c r="C11" s="20" t="s">
        <v>7</v>
      </c>
      <c r="D11" s="25">
        <v>906.45</v>
      </c>
      <c r="E11" s="57">
        <f>227*2.07</f>
        <v>469.89</v>
      </c>
      <c r="F11" s="23"/>
      <c r="G11" s="57">
        <f>189*1.14</f>
        <v>215.45999999999998</v>
      </c>
      <c r="H11" s="23"/>
      <c r="I11" s="23">
        <f>15*0.96</f>
        <v>14.399999999999999</v>
      </c>
      <c r="J11" s="58">
        <f>81*1.1</f>
        <v>89.10000000000001</v>
      </c>
      <c r="K11" s="25"/>
      <c r="L11" s="25"/>
      <c r="M11" s="57">
        <v>97</v>
      </c>
      <c r="N11" s="23"/>
      <c r="O11" s="23"/>
      <c r="P11" s="23"/>
      <c r="Q11" s="23"/>
      <c r="R11" s="23"/>
      <c r="S11" s="25"/>
      <c r="T11" s="25"/>
      <c r="U11" s="25"/>
      <c r="V11" s="25"/>
      <c r="W11" s="58">
        <f>20*1.75</f>
        <v>35</v>
      </c>
      <c r="X11" s="25"/>
      <c r="Y11" s="25"/>
      <c r="Z11" s="25"/>
      <c r="AA11" s="25"/>
      <c r="AB11" s="25"/>
      <c r="AC11" s="25"/>
      <c r="AD11" s="25"/>
      <c r="AE11" s="25"/>
    </row>
    <row r="12" spans="1:31" ht="8.25" customHeight="1">
      <c r="A12" s="18">
        <f>SUM(0+D12)</f>
        <v>795.41</v>
      </c>
      <c r="B12" s="19" t="s">
        <v>38</v>
      </c>
      <c r="C12" s="20" t="s">
        <v>37</v>
      </c>
      <c r="D12" s="25">
        <v>795.41</v>
      </c>
      <c r="E12" s="57">
        <f>125*2.07</f>
        <v>258.75</v>
      </c>
      <c r="F12" s="23">
        <f>33*0.16</f>
        <v>5.28</v>
      </c>
      <c r="G12" s="23">
        <f>57*1.14</f>
        <v>64.97999999999999</v>
      </c>
      <c r="H12" s="23"/>
      <c r="I12" s="23"/>
      <c r="J12" s="58">
        <f>94*1.1</f>
        <v>103.4</v>
      </c>
      <c r="K12" s="25">
        <f>108*0.65</f>
        <v>70.2</v>
      </c>
      <c r="L12" s="58">
        <f>354*0.44</f>
        <v>155.76</v>
      </c>
      <c r="M12" s="58">
        <v>148</v>
      </c>
      <c r="N12" s="23">
        <f>43*0.38</f>
        <v>16.34</v>
      </c>
      <c r="O12" s="23"/>
      <c r="P12" s="23">
        <f>33*0.25</f>
        <v>8.25</v>
      </c>
      <c r="Q12" s="23">
        <f>26*0.6</f>
        <v>15.6</v>
      </c>
      <c r="R12" s="23"/>
      <c r="S12" s="25"/>
      <c r="T12" s="25">
        <f>26*1.2</f>
        <v>31.2</v>
      </c>
      <c r="U12" s="25"/>
      <c r="V12" s="25">
        <f>11*0.91</f>
        <v>10.01</v>
      </c>
      <c r="W12" s="58">
        <f>74*1.75</f>
        <v>129.5</v>
      </c>
      <c r="X12" s="25">
        <f>56*0.48</f>
        <v>26.88</v>
      </c>
      <c r="Y12" s="25">
        <f>18*1.08</f>
        <v>19.44</v>
      </c>
      <c r="Z12" s="25"/>
      <c r="AA12" s="25"/>
      <c r="AB12" s="25"/>
      <c r="AC12" s="25"/>
      <c r="AD12" s="25"/>
      <c r="AE12" s="25"/>
    </row>
    <row r="13" spans="1:31" ht="8.25" customHeight="1">
      <c r="A13" s="18">
        <f>SUM(0+D13)</f>
        <v>767.3</v>
      </c>
      <c r="B13" s="19" t="s">
        <v>180</v>
      </c>
      <c r="C13" s="20" t="s">
        <v>21</v>
      </c>
      <c r="D13" s="25">
        <v>767.3</v>
      </c>
      <c r="E13" s="57">
        <f>44*2.07</f>
        <v>91.08</v>
      </c>
      <c r="F13" s="23"/>
      <c r="G13" s="23"/>
      <c r="H13" s="23"/>
      <c r="I13" s="57">
        <f>187*0.96</f>
        <v>179.51999999999998</v>
      </c>
      <c r="J13" s="25"/>
      <c r="K13" s="25"/>
      <c r="L13" s="25"/>
      <c r="M13" s="25"/>
      <c r="N13" s="23"/>
      <c r="O13" s="23"/>
      <c r="P13" s="23"/>
      <c r="Q13" s="23">
        <f>28*0.6</f>
        <v>16.8</v>
      </c>
      <c r="R13" s="23"/>
      <c r="S13" s="25"/>
      <c r="T13" s="58">
        <f>128*1.2</f>
        <v>153.6</v>
      </c>
      <c r="U13" s="25">
        <f>49*0.13</f>
        <v>6.37</v>
      </c>
      <c r="V13" s="58">
        <f>110*0.91</f>
        <v>100.10000000000001</v>
      </c>
      <c r="W13" s="25">
        <f>48*1.75</f>
        <v>84</v>
      </c>
      <c r="X13" s="25"/>
      <c r="Y13" s="58">
        <f>225*1.08</f>
        <v>243.00000000000003</v>
      </c>
      <c r="Z13" s="25"/>
      <c r="AA13" s="25"/>
      <c r="AB13" s="25"/>
      <c r="AC13" s="25"/>
      <c r="AD13" s="25"/>
      <c r="AE13" s="25"/>
    </row>
    <row r="14" spans="1:31" ht="8.25" customHeight="1">
      <c r="A14" s="18">
        <f>SUM(0+D14)</f>
        <v>544.3</v>
      </c>
      <c r="B14" s="19" t="s">
        <v>73</v>
      </c>
      <c r="C14" s="20" t="s">
        <v>14</v>
      </c>
      <c r="D14" s="25">
        <v>544.3</v>
      </c>
      <c r="E14" s="23"/>
      <c r="F14" s="23"/>
      <c r="G14" s="23">
        <f>61*1.14</f>
        <v>69.53999999999999</v>
      </c>
      <c r="H14" s="23"/>
      <c r="I14" s="23">
        <f>73*0.96</f>
        <v>70.08</v>
      </c>
      <c r="J14" s="25"/>
      <c r="K14" s="25">
        <f>101*0.65</f>
        <v>65.65</v>
      </c>
      <c r="L14" s="25"/>
      <c r="M14" s="25"/>
      <c r="N14" s="23"/>
      <c r="O14" s="23"/>
      <c r="P14" s="23"/>
      <c r="Q14" s="23">
        <f>104*0.6</f>
        <v>62.4</v>
      </c>
      <c r="R14" s="23"/>
      <c r="S14" s="25"/>
      <c r="T14" s="58">
        <f>101*1.2</f>
        <v>121.19999999999999</v>
      </c>
      <c r="U14" s="25"/>
      <c r="V14" s="58">
        <f>131*0.91</f>
        <v>119.21000000000001</v>
      </c>
      <c r="W14" s="58">
        <f>107*1.75</f>
        <v>187.25</v>
      </c>
      <c r="X14" s="25">
        <f>51*0.48</f>
        <v>24.48</v>
      </c>
      <c r="Y14" s="58">
        <f>108*1.08</f>
        <v>116.64000000000001</v>
      </c>
      <c r="Z14" s="25"/>
      <c r="AA14" s="25"/>
      <c r="AB14" s="25"/>
      <c r="AC14" s="25"/>
      <c r="AD14" s="25"/>
      <c r="AE14" s="25"/>
    </row>
    <row r="15" spans="1:31" ht="8.25" customHeight="1">
      <c r="A15" s="18">
        <f>SUM(0+D15)</f>
        <v>543.81</v>
      </c>
      <c r="B15" s="19" t="s">
        <v>144</v>
      </c>
      <c r="C15" s="20" t="s">
        <v>14</v>
      </c>
      <c r="D15" s="25">
        <v>543.81</v>
      </c>
      <c r="E15" s="57">
        <f>69*2.07</f>
        <v>142.82999999999998</v>
      </c>
      <c r="F15" s="23"/>
      <c r="G15" s="57">
        <f>76*1.14</f>
        <v>86.63999999999999</v>
      </c>
      <c r="H15" s="23"/>
      <c r="I15" s="57">
        <f>107*0.96</f>
        <v>102.72</v>
      </c>
      <c r="J15" s="25">
        <f>29*1.1</f>
        <v>31.900000000000002</v>
      </c>
      <c r="K15" s="25">
        <f>68*0.65</f>
        <v>44.2</v>
      </c>
      <c r="L15" s="25">
        <f>48*0.44</f>
        <v>21.12</v>
      </c>
      <c r="M15" s="25">
        <v>47</v>
      </c>
      <c r="N15" s="23">
        <f>29*0.38</f>
        <v>11.02</v>
      </c>
      <c r="O15" s="23">
        <f>44*0.89</f>
        <v>39.160000000000004</v>
      </c>
      <c r="P15" s="23"/>
      <c r="Q15" s="23">
        <f>70*0.6</f>
        <v>42</v>
      </c>
      <c r="R15" s="23"/>
      <c r="S15" s="25"/>
      <c r="T15" s="25">
        <f>57*1.2</f>
        <v>68.39999999999999</v>
      </c>
      <c r="U15" s="25">
        <f>36*0.13</f>
        <v>4.68</v>
      </c>
      <c r="V15" s="25">
        <f>48*0.91</f>
        <v>43.68</v>
      </c>
      <c r="W15" s="58">
        <f>66*1.75</f>
        <v>115.5</v>
      </c>
      <c r="X15" s="25"/>
      <c r="Y15" s="58">
        <f>89*1.08</f>
        <v>96.12</v>
      </c>
      <c r="Z15" s="25"/>
      <c r="AA15" s="25"/>
      <c r="AB15" s="25"/>
      <c r="AC15" s="25"/>
      <c r="AD15" s="25"/>
      <c r="AE15" s="25"/>
    </row>
    <row r="16" spans="1:31" ht="8.25" customHeight="1">
      <c r="A16" s="18"/>
      <c r="B16" s="20" t="s">
        <v>34</v>
      </c>
      <c r="C16" s="20"/>
      <c r="D16" s="25"/>
      <c r="E16" s="57"/>
      <c r="F16" s="23"/>
      <c r="G16" s="57"/>
      <c r="H16" s="23"/>
      <c r="I16" s="57"/>
      <c r="J16" s="25"/>
      <c r="K16" s="25"/>
      <c r="L16" s="25"/>
      <c r="M16" s="25"/>
      <c r="N16" s="23"/>
      <c r="O16" s="23"/>
      <c r="P16" s="23"/>
      <c r="Q16" s="23"/>
      <c r="R16" s="23"/>
      <c r="S16" s="25"/>
      <c r="T16" s="25"/>
      <c r="U16" s="25"/>
      <c r="V16" s="25"/>
      <c r="W16" s="58"/>
      <c r="X16" s="25"/>
      <c r="Y16" s="58"/>
      <c r="Z16" s="25"/>
      <c r="AA16" s="25"/>
      <c r="AB16" s="25"/>
      <c r="AC16" s="25"/>
      <c r="AD16" s="25"/>
      <c r="AE16" s="25"/>
    </row>
    <row r="17" spans="1:31" ht="8.25" customHeight="1">
      <c r="A17" s="18">
        <f>SUM(0+D17)</f>
        <v>530.93</v>
      </c>
      <c r="B17" s="19" t="s">
        <v>182</v>
      </c>
      <c r="C17" s="20" t="s">
        <v>14</v>
      </c>
      <c r="D17" s="25">
        <v>530.93</v>
      </c>
      <c r="E17" s="57">
        <f>77*2.07</f>
        <v>159.39</v>
      </c>
      <c r="F17" s="23"/>
      <c r="G17" s="23">
        <f>55*1.14</f>
        <v>62.699999999999996</v>
      </c>
      <c r="H17" s="23"/>
      <c r="I17" s="23">
        <f>69*0.96</f>
        <v>66.24</v>
      </c>
      <c r="J17" s="25">
        <f>18*1.1</f>
        <v>19.8</v>
      </c>
      <c r="K17" s="25">
        <f>77*0.65</f>
        <v>50.050000000000004</v>
      </c>
      <c r="L17" s="25">
        <f>9*0.44</f>
        <v>3.96</v>
      </c>
      <c r="M17" s="25">
        <v>8</v>
      </c>
      <c r="N17" s="23"/>
      <c r="O17" s="23"/>
      <c r="P17" s="23"/>
      <c r="Q17" s="23">
        <f>111*0.6</f>
        <v>66.6</v>
      </c>
      <c r="R17" s="23"/>
      <c r="S17" s="25"/>
      <c r="T17" s="58">
        <f>73*1.2</f>
        <v>87.6</v>
      </c>
      <c r="U17" s="25"/>
      <c r="V17" s="58">
        <f>103*0.91</f>
        <v>93.73</v>
      </c>
      <c r="W17" s="58">
        <f>55*1.75</f>
        <v>96.25</v>
      </c>
      <c r="X17" s="25">
        <f>96*0.48</f>
        <v>46.08</v>
      </c>
      <c r="Y17" s="58">
        <f>87*1.08</f>
        <v>93.96000000000001</v>
      </c>
      <c r="Z17" s="25"/>
      <c r="AA17" s="25"/>
      <c r="AB17" s="25"/>
      <c r="AC17" s="25"/>
      <c r="AD17" s="25"/>
      <c r="AE17" s="25"/>
    </row>
    <row r="18" spans="1:31" ht="8.25" customHeight="1">
      <c r="A18" s="18">
        <f>SUM(0+D18)</f>
        <v>491.35</v>
      </c>
      <c r="B18" s="19" t="s">
        <v>67</v>
      </c>
      <c r="C18" s="20" t="s">
        <v>17</v>
      </c>
      <c r="D18" s="25">
        <v>491.35</v>
      </c>
      <c r="E18" s="25"/>
      <c r="F18" s="23"/>
      <c r="G18" s="23"/>
      <c r="H18" s="57">
        <f>608*0.27</f>
        <v>164.16000000000003</v>
      </c>
      <c r="I18" s="23"/>
      <c r="J18" s="25"/>
      <c r="K18" s="25"/>
      <c r="L18" s="25"/>
      <c r="M18" s="58">
        <v>73</v>
      </c>
      <c r="N18" s="23"/>
      <c r="O18" s="57">
        <f>141*0.89</f>
        <v>125.49</v>
      </c>
      <c r="P18" s="23"/>
      <c r="Q18" s="23"/>
      <c r="R18" s="57">
        <f>585*0.22</f>
        <v>128.7</v>
      </c>
      <c r="S18" s="25"/>
      <c r="T18" s="25">
        <f>3*1.2</f>
        <v>3.5999999999999996</v>
      </c>
      <c r="U18" s="25"/>
      <c r="V18" s="25"/>
      <c r="W18" s="25">
        <f>8*1.75</f>
        <v>14</v>
      </c>
      <c r="X18" s="25"/>
      <c r="Y18" s="25"/>
      <c r="Z18" s="25"/>
      <c r="AA18" s="25"/>
      <c r="AB18" s="25"/>
      <c r="AC18" s="25"/>
      <c r="AD18" s="25"/>
      <c r="AE18" s="25"/>
    </row>
    <row r="19" spans="1:31" ht="8.25" customHeight="1">
      <c r="A19" s="18">
        <f>SUM(0+D19)</f>
        <v>374.89</v>
      </c>
      <c r="B19" s="19" t="s">
        <v>229</v>
      </c>
      <c r="C19" s="20" t="s">
        <v>24</v>
      </c>
      <c r="D19" s="25">
        <v>374.89</v>
      </c>
      <c r="E19" s="25"/>
      <c r="F19" s="23"/>
      <c r="G19" s="25"/>
      <c r="H19" s="23"/>
      <c r="I19" s="57">
        <f>82*0.96</f>
        <v>78.72</v>
      </c>
      <c r="J19" s="25"/>
      <c r="K19" s="25"/>
      <c r="L19" s="25"/>
      <c r="M19" s="25"/>
      <c r="N19" s="23"/>
      <c r="O19" s="23"/>
      <c r="P19" s="23"/>
      <c r="Q19" s="23"/>
      <c r="R19" s="23"/>
      <c r="S19" s="25"/>
      <c r="T19" s="58">
        <f>133*1.2</f>
        <v>159.6</v>
      </c>
      <c r="U19" s="25"/>
      <c r="V19" s="58">
        <f>77*0.91</f>
        <v>70.07000000000001</v>
      </c>
      <c r="W19" s="58">
        <f>38*1.75</f>
        <v>66.5</v>
      </c>
      <c r="X19" s="25"/>
      <c r="Y19" s="25">
        <f>57*1.08</f>
        <v>61.56</v>
      </c>
      <c r="Z19" s="25"/>
      <c r="AA19" s="25"/>
      <c r="AB19" s="25"/>
      <c r="AC19" s="25"/>
      <c r="AD19" s="25"/>
      <c r="AE19" s="25"/>
    </row>
    <row r="20" spans="1:31" ht="8.25" customHeight="1">
      <c r="A20" s="18">
        <f>SUM(0+D20)</f>
        <v>367.34</v>
      </c>
      <c r="B20" s="19" t="s">
        <v>79</v>
      </c>
      <c r="C20" s="20" t="s">
        <v>5</v>
      </c>
      <c r="D20" s="25">
        <v>367.34</v>
      </c>
      <c r="E20" s="57">
        <f>85*2.07</f>
        <v>175.95</v>
      </c>
      <c r="F20" s="23"/>
      <c r="G20" s="23"/>
      <c r="H20" s="23"/>
      <c r="I20" s="23"/>
      <c r="J20" s="25"/>
      <c r="K20" s="25"/>
      <c r="L20" s="25"/>
      <c r="M20" s="23"/>
      <c r="N20" s="57">
        <f>214*0.38</f>
        <v>81.32000000000001</v>
      </c>
      <c r="O20" s="23"/>
      <c r="P20" s="23">
        <f>47*0.25</f>
        <v>11.75</v>
      </c>
      <c r="Q20" s="57">
        <f>62*0.6</f>
        <v>37.199999999999996</v>
      </c>
      <c r="R20" s="23"/>
      <c r="S20" s="25"/>
      <c r="T20" s="25"/>
      <c r="U20" s="25">
        <f>58*0.13</f>
        <v>7.54</v>
      </c>
      <c r="V20" s="25"/>
      <c r="W20" s="58">
        <f>9*1.75</f>
        <v>15.75</v>
      </c>
      <c r="X20" s="58">
        <f>119*0.48</f>
        <v>57.12</v>
      </c>
      <c r="Y20" s="25">
        <f>9*1.08</f>
        <v>9.72</v>
      </c>
      <c r="Z20" s="25"/>
      <c r="AA20" s="25"/>
      <c r="AB20" s="25"/>
      <c r="AC20" s="25"/>
      <c r="AD20" s="25"/>
      <c r="AE20" s="25"/>
    </row>
    <row r="21" spans="1:31" ht="8.25" customHeight="1">
      <c r="A21" s="18">
        <f>SUM(0+D21)</f>
        <v>341.4</v>
      </c>
      <c r="B21" s="19" t="s">
        <v>49</v>
      </c>
      <c r="C21" s="20" t="s">
        <v>35</v>
      </c>
      <c r="D21" s="25">
        <v>341.4</v>
      </c>
      <c r="E21" s="57">
        <f>44*2.07</f>
        <v>91.08</v>
      </c>
      <c r="F21" s="23">
        <f>82*0.16</f>
        <v>13.120000000000001</v>
      </c>
      <c r="G21" s="23"/>
      <c r="H21" s="23"/>
      <c r="I21" s="23"/>
      <c r="J21" s="25"/>
      <c r="K21" s="25"/>
      <c r="L21" s="25"/>
      <c r="M21" s="23"/>
      <c r="N21" s="57">
        <f>71*0.38</f>
        <v>26.98</v>
      </c>
      <c r="O21" s="23"/>
      <c r="P21" s="23">
        <f>66*0.25</f>
        <v>16.5</v>
      </c>
      <c r="Q21" s="57">
        <f>223*0.6</f>
        <v>133.79999999999998</v>
      </c>
      <c r="R21" s="23"/>
      <c r="S21" s="25"/>
      <c r="T21" s="25"/>
      <c r="U21" s="25">
        <f>129*0.13</f>
        <v>16.77</v>
      </c>
      <c r="V21" s="25"/>
      <c r="W21" s="58">
        <f>38*1.75</f>
        <v>66.5</v>
      </c>
      <c r="X21" s="58">
        <f>48*0.48</f>
        <v>23.04</v>
      </c>
      <c r="Y21" s="25"/>
      <c r="Z21" s="25"/>
      <c r="AA21" s="25"/>
      <c r="AB21" s="25"/>
      <c r="AC21" s="25"/>
      <c r="AD21" s="25"/>
      <c r="AE21" s="25"/>
    </row>
    <row r="22" spans="1:31" ht="8.25" customHeight="1">
      <c r="A22" s="18"/>
      <c r="B22" s="19"/>
      <c r="C22" s="20"/>
      <c r="D22" s="25"/>
      <c r="E22" s="57"/>
      <c r="F22" s="23"/>
      <c r="G22" s="23"/>
      <c r="H22" s="23"/>
      <c r="I22" s="23"/>
      <c r="J22" s="25"/>
      <c r="K22" s="25"/>
      <c r="L22" s="25"/>
      <c r="M22" s="23"/>
      <c r="N22" s="57"/>
      <c r="O22" s="23"/>
      <c r="P22" s="23"/>
      <c r="Q22" s="57"/>
      <c r="R22" s="23"/>
      <c r="S22" s="25"/>
      <c r="T22" s="25"/>
      <c r="U22" s="25"/>
      <c r="V22" s="25"/>
      <c r="W22" s="58"/>
      <c r="X22" s="58"/>
      <c r="Y22" s="25"/>
      <c r="Z22" s="25"/>
      <c r="AA22" s="25"/>
      <c r="AB22" s="25"/>
      <c r="AC22" s="25"/>
      <c r="AD22" s="25"/>
      <c r="AE22" s="25"/>
    </row>
    <row r="23" spans="1:31" ht="8.25" customHeight="1">
      <c r="A23" s="18">
        <f>SUM(0+D23)</f>
        <v>312.63</v>
      </c>
      <c r="B23" s="19" t="s">
        <v>59</v>
      </c>
      <c r="C23" s="20" t="s">
        <v>9</v>
      </c>
      <c r="D23" s="25">
        <v>312.63</v>
      </c>
      <c r="E23" s="57">
        <f>38*2.07</f>
        <v>78.66</v>
      </c>
      <c r="F23" s="23"/>
      <c r="G23" s="23"/>
      <c r="H23" s="23"/>
      <c r="I23" s="57">
        <f>56*0.96</f>
        <v>53.76</v>
      </c>
      <c r="J23" s="25"/>
      <c r="K23" s="25"/>
      <c r="L23" s="25"/>
      <c r="M23" s="23"/>
      <c r="N23" s="23"/>
      <c r="O23" s="23"/>
      <c r="P23" s="23"/>
      <c r="Q23" s="23"/>
      <c r="R23" s="23"/>
      <c r="S23" s="25"/>
      <c r="T23" s="58">
        <f>51*1.2</f>
        <v>61.199999999999996</v>
      </c>
      <c r="U23" s="25"/>
      <c r="V23" s="25">
        <f>29*0.91</f>
        <v>26.39</v>
      </c>
      <c r="W23" s="58">
        <f>39*1.75</f>
        <v>68.25</v>
      </c>
      <c r="X23" s="25"/>
      <c r="Y23" s="58">
        <f>47*1.08</f>
        <v>50.760000000000005</v>
      </c>
      <c r="Z23" s="25"/>
      <c r="AA23" s="25"/>
      <c r="AB23" s="25"/>
      <c r="AC23" s="25"/>
      <c r="AD23" s="25"/>
      <c r="AE23" s="25"/>
    </row>
    <row r="24" spans="1:31" ht="8.25" customHeight="1">
      <c r="A24" s="18">
        <f>SUM(0+D24)</f>
        <v>213.09</v>
      </c>
      <c r="B24" s="19" t="s">
        <v>13</v>
      </c>
      <c r="C24" s="20" t="s">
        <v>9</v>
      </c>
      <c r="D24" s="25">
        <v>213.09</v>
      </c>
      <c r="E24" s="57">
        <f>27*2.07</f>
        <v>55.88999999999999</v>
      </c>
      <c r="F24" s="23"/>
      <c r="G24" s="57">
        <f>26*1.14</f>
        <v>29.639999999999997</v>
      </c>
      <c r="H24" s="23"/>
      <c r="I24" s="57">
        <f>26*0.96</f>
        <v>24.96</v>
      </c>
      <c r="J24" s="25"/>
      <c r="K24" s="25">
        <f>30*0.65</f>
        <v>19.5</v>
      </c>
      <c r="L24" s="25"/>
      <c r="M24" s="23"/>
      <c r="N24" s="23">
        <f>9*0.38</f>
        <v>3.42</v>
      </c>
      <c r="O24" s="23"/>
      <c r="P24" s="23">
        <f>41*0.25</f>
        <v>10.25</v>
      </c>
      <c r="Q24" s="23">
        <f>28*0.6</f>
        <v>16.8</v>
      </c>
      <c r="R24" s="23"/>
      <c r="S24" s="25"/>
      <c r="T24" s="58">
        <f>33*1.2</f>
        <v>39.6</v>
      </c>
      <c r="U24" s="25">
        <f>73*0.13</f>
        <v>9.49</v>
      </c>
      <c r="V24" s="25">
        <f>15*0.91</f>
        <v>13.65</v>
      </c>
      <c r="W24" s="58">
        <f>36*1.75</f>
        <v>63</v>
      </c>
      <c r="X24" s="25">
        <f>43*0.48</f>
        <v>20.64</v>
      </c>
      <c r="Y24" s="25">
        <f>23*1.08</f>
        <v>24.840000000000003</v>
      </c>
      <c r="Z24" s="25"/>
      <c r="AA24" s="25"/>
      <c r="AB24" s="25"/>
      <c r="AC24" s="25"/>
      <c r="AD24" s="25"/>
      <c r="AE24" s="25"/>
    </row>
    <row r="25" spans="1:31" ht="8.25" customHeight="1">
      <c r="A25" s="18">
        <f>SUM(0+D25)</f>
        <v>313.24</v>
      </c>
      <c r="B25" s="19" t="s">
        <v>42</v>
      </c>
      <c r="C25" s="20" t="s">
        <v>17</v>
      </c>
      <c r="D25" s="25">
        <v>313.24</v>
      </c>
      <c r="E25" s="57">
        <f>16*2.07</f>
        <v>33.12</v>
      </c>
      <c r="F25" s="23">
        <f>37*0.16</f>
        <v>5.92</v>
      </c>
      <c r="G25" s="23"/>
      <c r="H25" s="23">
        <f>58*0.27</f>
        <v>15.66</v>
      </c>
      <c r="I25" s="23"/>
      <c r="J25" s="25">
        <f>11*1.1</f>
        <v>12.100000000000001</v>
      </c>
      <c r="K25" s="25"/>
      <c r="L25" s="25">
        <f>9*0.44</f>
        <v>3.96</v>
      </c>
      <c r="M25" s="25"/>
      <c r="N25" s="57">
        <f>78*0.38</f>
        <v>29.64</v>
      </c>
      <c r="O25" s="57">
        <f>180*0.89</f>
        <v>160.2</v>
      </c>
      <c r="P25" s="23">
        <f>103*0.25</f>
        <v>25.75</v>
      </c>
      <c r="Q25" s="23">
        <f>43*0.6</f>
        <v>25.8</v>
      </c>
      <c r="R25" s="23"/>
      <c r="S25" s="25">
        <f>58*0.2</f>
        <v>11.600000000000001</v>
      </c>
      <c r="T25" s="25">
        <f>15*1.2</f>
        <v>18</v>
      </c>
      <c r="U25" s="25">
        <f>56*0.13</f>
        <v>7.28</v>
      </c>
      <c r="V25" s="25">
        <f>9*0.91</f>
        <v>8.19</v>
      </c>
      <c r="W25" s="58">
        <f>28*1.75</f>
        <v>49</v>
      </c>
      <c r="X25" s="75">
        <f>86*0.48</f>
        <v>41.28</v>
      </c>
      <c r="Y25" s="19"/>
      <c r="Z25" s="19"/>
      <c r="AA25" s="19"/>
      <c r="AB25" s="19"/>
      <c r="AC25" s="19"/>
      <c r="AD25" s="19"/>
      <c r="AE25" s="19"/>
    </row>
    <row r="26" spans="1:31" ht="8.25" customHeight="1">
      <c r="A26" s="18">
        <f>SUM(0+D26)</f>
        <v>274.44</v>
      </c>
      <c r="B26" s="19" t="s">
        <v>211</v>
      </c>
      <c r="C26" s="20" t="s">
        <v>14</v>
      </c>
      <c r="D26" s="25">
        <v>274.44</v>
      </c>
      <c r="E26" s="19"/>
      <c r="F26" s="23"/>
      <c r="G26" s="57">
        <f>41*1.14</f>
        <v>46.739999999999995</v>
      </c>
      <c r="H26" s="23"/>
      <c r="I26" s="23"/>
      <c r="J26" s="58">
        <f>62*1.1</f>
        <v>68.2</v>
      </c>
      <c r="K26" s="25">
        <f>8*0.65</f>
        <v>5.2</v>
      </c>
      <c r="L26" s="25">
        <f>26*0.44</f>
        <v>11.44</v>
      </c>
      <c r="M26" s="58">
        <v>58</v>
      </c>
      <c r="N26" s="23"/>
      <c r="O26" s="23"/>
      <c r="P26" s="23"/>
      <c r="Q26" s="23"/>
      <c r="R26" s="23"/>
      <c r="S26" s="25"/>
      <c r="T26" s="25"/>
      <c r="U26" s="25"/>
      <c r="V26" s="25">
        <f>7*0.91</f>
        <v>6.37</v>
      </c>
      <c r="W26" s="58">
        <f>58*1.75</f>
        <v>101.5</v>
      </c>
      <c r="X26" s="19"/>
      <c r="Y26" s="19"/>
      <c r="Z26" s="19"/>
      <c r="AA26" s="19"/>
      <c r="AB26" s="19"/>
      <c r="AC26" s="19"/>
      <c r="AD26" s="19"/>
      <c r="AE26" s="19"/>
    </row>
    <row r="27" spans="1:31" ht="8.25" customHeight="1">
      <c r="A27" s="18">
        <f>SUM(0+D27)</f>
        <v>293.75</v>
      </c>
      <c r="B27" s="19" t="s">
        <v>185</v>
      </c>
      <c r="C27" s="20" t="s">
        <v>37</v>
      </c>
      <c r="D27" s="25">
        <v>293.75</v>
      </c>
      <c r="E27" s="23">
        <f>39*2.07</f>
        <v>80.72999999999999</v>
      </c>
      <c r="F27" s="23"/>
      <c r="G27" s="23">
        <f>8*1.14</f>
        <v>9.12</v>
      </c>
      <c r="H27" s="23"/>
      <c r="I27" s="23"/>
      <c r="J27" s="25">
        <f>155*1.1</f>
        <v>170.5</v>
      </c>
      <c r="K27" s="25"/>
      <c r="L27" s="25"/>
      <c r="M27" s="25"/>
      <c r="N27" s="23"/>
      <c r="O27" s="23"/>
      <c r="P27" s="23"/>
      <c r="Q27" s="23">
        <f>9*0.6</f>
        <v>5.3999999999999995</v>
      </c>
      <c r="R27" s="23"/>
      <c r="S27" s="25"/>
      <c r="T27" s="25"/>
      <c r="U27" s="25"/>
      <c r="V27" s="25"/>
      <c r="W27" s="25">
        <f>16*1.75</f>
        <v>28</v>
      </c>
      <c r="X27" s="25"/>
      <c r="Y27" s="25"/>
      <c r="Z27" s="25"/>
      <c r="AA27" s="25"/>
      <c r="AB27" s="25"/>
      <c r="AC27" s="25"/>
      <c r="AD27" s="25"/>
      <c r="AE27" s="25"/>
    </row>
    <row r="28" spans="1:31" ht="8.25" customHeight="1">
      <c r="A28" s="18">
        <f>SUM(0+D28)</f>
        <v>283.47</v>
      </c>
      <c r="B28" s="19" t="s">
        <v>194</v>
      </c>
      <c r="C28" s="20" t="s">
        <v>21</v>
      </c>
      <c r="D28" s="25">
        <v>283.47</v>
      </c>
      <c r="E28" s="57">
        <f>24*2.07</f>
        <v>49.67999999999999</v>
      </c>
      <c r="F28" s="23"/>
      <c r="G28" s="23"/>
      <c r="H28" s="23"/>
      <c r="I28" s="23">
        <f>13*0.96</f>
        <v>12.48</v>
      </c>
      <c r="J28" s="25"/>
      <c r="K28" s="25">
        <f>44*0.65</f>
        <v>28.6</v>
      </c>
      <c r="L28" s="25"/>
      <c r="M28" s="23"/>
      <c r="N28" s="23"/>
      <c r="O28" s="23"/>
      <c r="P28" s="23"/>
      <c r="Q28" s="23">
        <f>8*0.6</f>
        <v>4.8</v>
      </c>
      <c r="R28" s="23"/>
      <c r="S28" s="25"/>
      <c r="T28" s="58">
        <f>34*1.2</f>
        <v>40.8</v>
      </c>
      <c r="U28" s="25"/>
      <c r="V28" s="58">
        <f>77*0.91</f>
        <v>70.07000000000001</v>
      </c>
      <c r="W28" s="58">
        <f>40*1.75</f>
        <v>70</v>
      </c>
      <c r="X28" s="25">
        <f>33*0.48</f>
        <v>15.84</v>
      </c>
      <c r="Y28" s="58">
        <f>49*1.08</f>
        <v>52.92</v>
      </c>
      <c r="Z28" s="25"/>
      <c r="AA28" s="25"/>
      <c r="AB28" s="25"/>
      <c r="AC28" s="25"/>
      <c r="AD28" s="25"/>
      <c r="AE28" s="25"/>
    </row>
    <row r="29" spans="1:31" ht="8.25" customHeight="1">
      <c r="A29" s="18">
        <f>SUM(0+D29)</f>
        <v>269.57</v>
      </c>
      <c r="B29" s="19" t="s">
        <v>195</v>
      </c>
      <c r="C29" s="20" t="s">
        <v>21</v>
      </c>
      <c r="D29" s="25">
        <f>SUM(E29:AE29)</f>
        <v>269.57</v>
      </c>
      <c r="E29" s="23">
        <f>18*2.07</f>
        <v>37.26</v>
      </c>
      <c r="F29" s="23"/>
      <c r="G29" s="23"/>
      <c r="H29" s="23"/>
      <c r="I29" s="23">
        <f>33*0.96</f>
        <v>31.68</v>
      </c>
      <c r="J29" s="25"/>
      <c r="K29" s="25">
        <f>43*0.65</f>
        <v>27.95</v>
      </c>
      <c r="L29" s="25"/>
      <c r="M29" s="23"/>
      <c r="N29" s="23"/>
      <c r="O29" s="23"/>
      <c r="P29" s="23"/>
      <c r="Q29" s="23">
        <f>38*0.6</f>
        <v>22.8</v>
      </c>
      <c r="R29" s="23"/>
      <c r="S29" s="25"/>
      <c r="T29" s="25">
        <f>43*1.2</f>
        <v>51.6</v>
      </c>
      <c r="U29" s="25"/>
      <c r="V29" s="25">
        <f>33*0.91</f>
        <v>30.03</v>
      </c>
      <c r="W29" s="25">
        <f>39*1.75</f>
        <v>68.25</v>
      </c>
      <c r="X29" s="25"/>
      <c r="Y29" s="25"/>
      <c r="Z29" s="25"/>
      <c r="AA29" s="25"/>
      <c r="AB29" s="25"/>
      <c r="AC29" s="25"/>
      <c r="AD29" s="25"/>
      <c r="AE29" s="25"/>
    </row>
    <row r="30" spans="1:31" ht="8.25" customHeight="1">
      <c r="A30" s="18">
        <f>SUM(0+D30)</f>
        <v>266.99</v>
      </c>
      <c r="B30" s="19" t="s">
        <v>152</v>
      </c>
      <c r="C30" s="20" t="s">
        <v>37</v>
      </c>
      <c r="D30" s="25">
        <f>SUM(E30:AE30)</f>
        <v>266.99</v>
      </c>
      <c r="E30" s="23">
        <f>13*2.07</f>
        <v>26.909999999999997</v>
      </c>
      <c r="F30" s="23"/>
      <c r="G30" s="23"/>
      <c r="H30" s="23"/>
      <c r="I30" s="23"/>
      <c r="J30" s="25">
        <f>72*1.1</f>
        <v>79.2</v>
      </c>
      <c r="K30" s="25"/>
      <c r="L30" s="25">
        <f>152*0.44</f>
        <v>66.88</v>
      </c>
      <c r="M30" s="23">
        <v>94</v>
      </c>
      <c r="N30" s="23"/>
      <c r="O30" s="23"/>
      <c r="P30" s="23"/>
      <c r="Q30" s="23"/>
      <c r="R30" s="23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8.25" customHeight="1">
      <c r="A31" s="18">
        <f>SUM(0+D31)</f>
        <v>266.04</v>
      </c>
      <c r="B31" s="19" t="s">
        <v>113</v>
      </c>
      <c r="C31" s="20" t="s">
        <v>7</v>
      </c>
      <c r="D31" s="25">
        <f>SUM(E31:AE31)</f>
        <v>266.04</v>
      </c>
      <c r="E31" s="23">
        <f>29*2.07</f>
        <v>60.029999999999994</v>
      </c>
      <c r="F31" s="23">
        <f>39*0.16</f>
        <v>6.24</v>
      </c>
      <c r="G31" s="23"/>
      <c r="H31" s="23"/>
      <c r="I31" s="23">
        <f>7*0.96</f>
        <v>6.72</v>
      </c>
      <c r="J31" s="25">
        <f>35*1.1</f>
        <v>38.5</v>
      </c>
      <c r="K31" s="25">
        <f>8*0.65</f>
        <v>5.2</v>
      </c>
      <c r="L31" s="25">
        <f>74*0.44</f>
        <v>32.56</v>
      </c>
      <c r="M31" s="23">
        <v>20</v>
      </c>
      <c r="N31" s="23">
        <f>36*0.38</f>
        <v>13.68</v>
      </c>
      <c r="O31" s="23"/>
      <c r="P31" s="23"/>
      <c r="Q31" s="23"/>
      <c r="R31" s="23"/>
      <c r="S31" s="25"/>
      <c r="T31" s="25"/>
      <c r="U31" s="25"/>
      <c r="V31" s="25"/>
      <c r="W31" s="25">
        <f>37*1.75</f>
        <v>64.75</v>
      </c>
      <c r="X31" s="25"/>
      <c r="Y31" s="25">
        <f>17*1.08</f>
        <v>18.36</v>
      </c>
      <c r="Z31" s="25"/>
      <c r="AA31" s="25"/>
      <c r="AB31" s="25"/>
      <c r="AC31" s="25"/>
      <c r="AD31" s="25"/>
      <c r="AE31" s="25"/>
    </row>
    <row r="32" spans="1:31" ht="8.25" customHeight="1">
      <c r="A32" s="18">
        <f>SUM(0+D32)</f>
        <v>264.05</v>
      </c>
      <c r="B32" s="19" t="s">
        <v>36</v>
      </c>
      <c r="C32" s="20" t="s">
        <v>17</v>
      </c>
      <c r="D32" s="25">
        <f>SUM(E32:AE32)</f>
        <v>264.05</v>
      </c>
      <c r="E32" s="23">
        <f>33*2.07</f>
        <v>68.30999999999999</v>
      </c>
      <c r="F32" s="23"/>
      <c r="G32" s="23"/>
      <c r="H32" s="23"/>
      <c r="I32" s="23">
        <f>12*0.96</f>
        <v>11.52</v>
      </c>
      <c r="J32" s="25">
        <f>26*1.1</f>
        <v>28.6</v>
      </c>
      <c r="K32" s="25"/>
      <c r="L32" s="25">
        <f>33*0.44</f>
        <v>14.52</v>
      </c>
      <c r="M32" s="25">
        <v>33</v>
      </c>
      <c r="N32" s="23"/>
      <c r="O32" s="23">
        <f>70*0.89</f>
        <v>62.300000000000004</v>
      </c>
      <c r="P32" s="23"/>
      <c r="Q32" s="23"/>
      <c r="R32" s="23"/>
      <c r="S32" s="25">
        <f>43*0.2</f>
        <v>8.6</v>
      </c>
      <c r="T32" s="25"/>
      <c r="U32" s="25"/>
      <c r="V32" s="25"/>
      <c r="W32" s="25">
        <f>12*1.75</f>
        <v>21</v>
      </c>
      <c r="X32" s="25">
        <f>9*0.48</f>
        <v>4.32</v>
      </c>
      <c r="Y32" s="25">
        <f>11*1.08</f>
        <v>11.88</v>
      </c>
      <c r="Z32" s="25"/>
      <c r="AA32" s="25"/>
      <c r="AB32" s="25"/>
      <c r="AC32" s="25"/>
      <c r="AD32" s="25"/>
      <c r="AE32" s="25"/>
    </row>
    <row r="33" spans="1:31" ht="8.25" customHeight="1">
      <c r="A33" s="18">
        <f>SUM(0+D33)</f>
        <v>260.13</v>
      </c>
      <c r="B33" s="19" t="s">
        <v>27</v>
      </c>
      <c r="C33" s="20" t="s">
        <v>17</v>
      </c>
      <c r="D33" s="25">
        <f>SUM(E33:AE33)</f>
        <v>260.13</v>
      </c>
      <c r="E33" s="25"/>
      <c r="F33" s="25"/>
      <c r="G33" s="25"/>
      <c r="H33" s="25"/>
      <c r="I33" s="23"/>
      <c r="J33" s="25"/>
      <c r="K33" s="25">
        <f>11*0.65</f>
        <v>7.15</v>
      </c>
      <c r="L33" s="25"/>
      <c r="M33" s="23"/>
      <c r="N33" s="23"/>
      <c r="O33" s="23">
        <f>273*0.89</f>
        <v>242.97</v>
      </c>
      <c r="P33" s="23"/>
      <c r="Q33" s="23"/>
      <c r="R33" s="23"/>
      <c r="S33" s="25"/>
      <c r="T33" s="25"/>
      <c r="U33" s="25"/>
      <c r="V33" s="25">
        <f>11*0.91</f>
        <v>10.01</v>
      </c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8.25" customHeight="1">
      <c r="A34" s="18">
        <f>SUM(0+D34)</f>
        <v>224.7</v>
      </c>
      <c r="B34" s="19" t="s">
        <v>233</v>
      </c>
      <c r="C34" s="20" t="s">
        <v>14</v>
      </c>
      <c r="D34" s="25">
        <f>SUM(E34:AE34)</f>
        <v>224.7</v>
      </c>
      <c r="E34" s="25"/>
      <c r="F34" s="23"/>
      <c r="G34" s="25"/>
      <c r="H34" s="23"/>
      <c r="I34" s="23">
        <f>53*0.96</f>
        <v>50.879999999999995</v>
      </c>
      <c r="J34" s="25"/>
      <c r="K34" s="25"/>
      <c r="L34" s="25"/>
      <c r="M34" s="25"/>
      <c r="N34" s="23"/>
      <c r="O34" s="23"/>
      <c r="P34" s="23"/>
      <c r="Q34" s="23"/>
      <c r="R34" s="23"/>
      <c r="S34" s="25"/>
      <c r="T34" s="25">
        <f>33*1.2</f>
        <v>39.6</v>
      </c>
      <c r="U34" s="25"/>
      <c r="V34" s="25">
        <f>33*0.91</f>
        <v>30.03</v>
      </c>
      <c r="W34" s="25">
        <f>33*1.75</f>
        <v>57.75</v>
      </c>
      <c r="X34" s="25"/>
      <c r="Y34" s="25">
        <f>43*1.08</f>
        <v>46.440000000000005</v>
      </c>
      <c r="Z34" s="25"/>
      <c r="AA34" s="25"/>
      <c r="AB34" s="25"/>
      <c r="AC34" s="25"/>
      <c r="AD34" s="25"/>
      <c r="AE34" s="25"/>
    </row>
    <row r="35" spans="1:31" ht="8.25" customHeight="1">
      <c r="A35" s="18">
        <f>SUM(0+D35)</f>
        <v>198.39</v>
      </c>
      <c r="B35" s="19" t="s">
        <v>234</v>
      </c>
      <c r="C35" s="20" t="s">
        <v>24</v>
      </c>
      <c r="D35" s="25">
        <f>SUM(E35:AE35)</f>
        <v>198.39</v>
      </c>
      <c r="E35" s="25"/>
      <c r="F35" s="23"/>
      <c r="G35" s="25"/>
      <c r="H35" s="23"/>
      <c r="I35" s="23">
        <f>47*0.96</f>
        <v>45.12</v>
      </c>
      <c r="J35" s="25"/>
      <c r="K35" s="25"/>
      <c r="L35" s="25"/>
      <c r="M35" s="25"/>
      <c r="N35" s="23"/>
      <c r="O35" s="23"/>
      <c r="P35" s="23"/>
      <c r="Q35" s="23"/>
      <c r="R35" s="23"/>
      <c r="S35" s="25"/>
      <c r="T35" s="25">
        <f>74*1.2</f>
        <v>88.8</v>
      </c>
      <c r="U35" s="25"/>
      <c r="V35" s="25">
        <f>42*0.91</f>
        <v>38.22</v>
      </c>
      <c r="W35" s="25">
        <f>15*1.75</f>
        <v>26.25</v>
      </c>
      <c r="X35" s="25"/>
      <c r="Y35" s="25"/>
      <c r="Z35" s="25"/>
      <c r="AA35" s="25"/>
      <c r="AB35" s="25"/>
      <c r="AC35" s="25"/>
      <c r="AD35" s="25"/>
      <c r="AE35" s="25"/>
    </row>
    <row r="36" spans="1:31" ht="8.25" customHeight="1">
      <c r="A36" s="18">
        <f>SUM(0+D36)</f>
        <v>179.92</v>
      </c>
      <c r="B36" s="19" t="s">
        <v>25</v>
      </c>
      <c r="C36" s="20" t="s">
        <v>26</v>
      </c>
      <c r="D36" s="25">
        <f>SUM(E36:AE36)</f>
        <v>179.92</v>
      </c>
      <c r="E36" s="23"/>
      <c r="F36" s="23"/>
      <c r="G36" s="23"/>
      <c r="H36" s="23"/>
      <c r="I36" s="23"/>
      <c r="J36" s="25"/>
      <c r="K36" s="25">
        <f>46*0.65</f>
        <v>29.900000000000002</v>
      </c>
      <c r="L36" s="25"/>
      <c r="M36" s="25"/>
      <c r="N36" s="23"/>
      <c r="O36" s="23"/>
      <c r="P36" s="23"/>
      <c r="Q36" s="23"/>
      <c r="R36" s="23"/>
      <c r="S36" s="25"/>
      <c r="T36" s="25">
        <f>26*1.2</f>
        <v>31.2</v>
      </c>
      <c r="U36" s="25"/>
      <c r="V36" s="25"/>
      <c r="W36" s="25">
        <f>50*1.75</f>
        <v>87.5</v>
      </c>
      <c r="X36" s="25"/>
      <c r="Y36" s="25">
        <f>29*1.08</f>
        <v>31.32</v>
      </c>
      <c r="Z36" s="25"/>
      <c r="AA36" s="25"/>
      <c r="AB36" s="25"/>
      <c r="AC36" s="25"/>
      <c r="AD36" s="25"/>
      <c r="AE36" s="25"/>
    </row>
    <row r="37" spans="1:31" ht="8.25" customHeight="1">
      <c r="A37" s="18">
        <f>SUM(0+D37)</f>
        <v>147.14</v>
      </c>
      <c r="B37" s="19" t="s">
        <v>78</v>
      </c>
      <c r="C37" s="20" t="s">
        <v>7</v>
      </c>
      <c r="D37" s="25">
        <f>SUM(E37:AE37)</f>
        <v>147.14</v>
      </c>
      <c r="E37" s="25"/>
      <c r="F37" s="23"/>
      <c r="G37" s="23">
        <f>26*1.14</f>
        <v>29.639999999999997</v>
      </c>
      <c r="H37" s="23"/>
      <c r="I37" s="23"/>
      <c r="J37" s="25">
        <f>65*1.1</f>
        <v>71.5</v>
      </c>
      <c r="K37" s="25"/>
      <c r="L37" s="25"/>
      <c r="M37" s="23">
        <v>46</v>
      </c>
      <c r="N37" s="23"/>
      <c r="O37" s="23"/>
      <c r="P37" s="23"/>
      <c r="Q37" s="23"/>
      <c r="R37" s="2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ht="8.25" customHeight="1">
      <c r="A38" s="18">
        <f>SUM(0+D38)</f>
        <v>140.04</v>
      </c>
      <c r="B38" s="19" t="s">
        <v>212</v>
      </c>
      <c r="C38" s="20" t="s">
        <v>7</v>
      </c>
      <c r="D38" s="25">
        <f>SUM(E38:AE38)</f>
        <v>140.04</v>
      </c>
      <c r="E38" s="23"/>
      <c r="F38" s="23"/>
      <c r="G38" s="23">
        <f>51*1.14</f>
        <v>58.13999999999999</v>
      </c>
      <c r="H38" s="23"/>
      <c r="I38" s="23"/>
      <c r="J38" s="25">
        <f>39*1.1</f>
        <v>42.900000000000006</v>
      </c>
      <c r="K38" s="25"/>
      <c r="L38" s="25"/>
      <c r="M38" s="25">
        <v>39</v>
      </c>
      <c r="N38" s="23"/>
      <c r="O38" s="23"/>
      <c r="P38" s="23"/>
      <c r="Q38" s="23"/>
      <c r="R38" s="23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ht="8.25" customHeight="1">
      <c r="A39" s="18">
        <f>SUM(0+D39)</f>
        <v>136.78</v>
      </c>
      <c r="B39" s="19" t="s">
        <v>214</v>
      </c>
      <c r="C39" s="20" t="s">
        <v>17</v>
      </c>
      <c r="D39" s="25">
        <f>SUM(E39:AE39)</f>
        <v>136.78</v>
      </c>
      <c r="E39" s="25"/>
      <c r="F39" s="23"/>
      <c r="G39" s="23">
        <f>8*1.14</f>
        <v>9.12</v>
      </c>
      <c r="H39" s="23"/>
      <c r="I39" s="23">
        <f>9*0.96</f>
        <v>8.64</v>
      </c>
      <c r="J39" s="25"/>
      <c r="K39" s="25"/>
      <c r="L39" s="25"/>
      <c r="M39" s="23"/>
      <c r="N39" s="23"/>
      <c r="O39" s="23">
        <f>101*0.89</f>
        <v>89.89</v>
      </c>
      <c r="P39" s="23"/>
      <c r="Q39" s="23"/>
      <c r="R39" s="23"/>
      <c r="S39" s="25"/>
      <c r="T39" s="25">
        <f>8*1.2</f>
        <v>9.6</v>
      </c>
      <c r="U39" s="25"/>
      <c r="V39" s="25">
        <f>8*0.91</f>
        <v>7.28</v>
      </c>
      <c r="W39" s="25">
        <f>7*1.75</f>
        <v>12.25</v>
      </c>
      <c r="X39" s="25"/>
      <c r="Y39" s="25"/>
      <c r="Z39" s="25"/>
      <c r="AA39" s="25"/>
      <c r="AB39" s="25"/>
      <c r="AC39" s="25"/>
      <c r="AD39" s="25"/>
      <c r="AE39" s="25"/>
    </row>
    <row r="40" spans="1:31" ht="8.25" customHeight="1">
      <c r="A40" s="18">
        <f>SUM(0+D40)</f>
        <v>136.17000000000002</v>
      </c>
      <c r="B40" s="19" t="s">
        <v>262</v>
      </c>
      <c r="C40" s="20" t="s">
        <v>17</v>
      </c>
      <c r="D40" s="25">
        <f>SUM(E40:AE40)</f>
        <v>136.17000000000002</v>
      </c>
      <c r="E40" s="25"/>
      <c r="F40" s="25"/>
      <c r="G40" s="25"/>
      <c r="H40" s="25"/>
      <c r="I40" s="25"/>
      <c r="J40" s="25"/>
      <c r="K40" s="25"/>
      <c r="L40" s="25"/>
      <c r="M40" s="25"/>
      <c r="N40" s="23"/>
      <c r="O40" s="23">
        <f>153*0.89</f>
        <v>136.17000000000002</v>
      </c>
      <c r="P40" s="23"/>
      <c r="Q40" s="23"/>
      <c r="R40" s="23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8.25" customHeight="1">
      <c r="A41" s="18">
        <f>SUM(0+D41)</f>
        <v>120.15</v>
      </c>
      <c r="B41" s="19" t="s">
        <v>261</v>
      </c>
      <c r="C41" s="20" t="s">
        <v>17</v>
      </c>
      <c r="D41" s="25">
        <f>SUM(E41:AE41)</f>
        <v>120.15</v>
      </c>
      <c r="E41" s="25"/>
      <c r="F41" s="25"/>
      <c r="G41" s="25"/>
      <c r="H41" s="25"/>
      <c r="I41" s="25"/>
      <c r="J41" s="23"/>
      <c r="K41" s="25"/>
      <c r="L41" s="23"/>
      <c r="M41" s="23"/>
      <c r="N41" s="23"/>
      <c r="O41" s="23">
        <f>135*0.89</f>
        <v>120.15</v>
      </c>
      <c r="P41" s="23"/>
      <c r="Q41" s="23"/>
      <c r="R41" s="23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ht="8.25" customHeight="1">
      <c r="A42" s="18">
        <f>SUM(0+D42)</f>
        <v>100.64</v>
      </c>
      <c r="B42" s="19" t="s">
        <v>238</v>
      </c>
      <c r="C42" s="20" t="s">
        <v>5</v>
      </c>
      <c r="D42" s="25">
        <f>SUM(E42:AE42)</f>
        <v>100.64</v>
      </c>
      <c r="E42" s="25"/>
      <c r="F42" s="23">
        <f>86*0.16</f>
        <v>13.76</v>
      </c>
      <c r="G42" s="25"/>
      <c r="H42" s="25"/>
      <c r="I42" s="23"/>
      <c r="J42" s="25"/>
      <c r="K42" s="25"/>
      <c r="L42" s="25"/>
      <c r="M42" s="25"/>
      <c r="N42" s="23"/>
      <c r="O42" s="23"/>
      <c r="P42" s="23"/>
      <c r="Q42" s="23"/>
      <c r="R42" s="23"/>
      <c r="S42" s="25"/>
      <c r="T42" s="25"/>
      <c r="U42" s="25"/>
      <c r="V42" s="25"/>
      <c r="W42" s="25"/>
      <c r="X42" s="25">
        <f>181*0.48</f>
        <v>86.88</v>
      </c>
      <c r="Y42" s="25"/>
      <c r="Z42" s="25"/>
      <c r="AA42" s="25"/>
      <c r="AB42" s="25"/>
      <c r="AC42" s="25"/>
      <c r="AD42" s="25"/>
      <c r="AE42" s="25"/>
    </row>
    <row r="43" spans="1:31" ht="8.25" customHeight="1">
      <c r="A43" s="18">
        <f>SUM(0+D43)</f>
        <v>99.93</v>
      </c>
      <c r="B43" s="19" t="s">
        <v>153</v>
      </c>
      <c r="C43" s="20" t="s">
        <v>37</v>
      </c>
      <c r="D43" s="25">
        <f>SUM(E43:AE43)</f>
        <v>99.93</v>
      </c>
      <c r="E43" s="23">
        <f>11*2.07</f>
        <v>22.77</v>
      </c>
      <c r="F43" s="23"/>
      <c r="G43" s="23"/>
      <c r="H43" s="23"/>
      <c r="I43" s="23"/>
      <c r="J43" s="25">
        <f>36*1.1</f>
        <v>39.6</v>
      </c>
      <c r="K43" s="25"/>
      <c r="L43" s="25">
        <f>49*0.44</f>
        <v>21.56</v>
      </c>
      <c r="M43" s="25">
        <v>16</v>
      </c>
      <c r="N43" s="23"/>
      <c r="O43" s="23"/>
      <c r="P43" s="23"/>
      <c r="Q43" s="23"/>
      <c r="R43" s="23"/>
      <c r="S43" s="25"/>
      <c r="T43" s="25"/>
      <c r="U43" s="25"/>
      <c r="V43" s="25"/>
      <c r="W43" s="25"/>
      <c r="X43" s="19"/>
      <c r="Y43" s="19"/>
      <c r="Z43" s="19"/>
      <c r="AA43" s="19"/>
      <c r="AB43" s="19"/>
      <c r="AC43" s="19"/>
      <c r="AD43" s="19"/>
      <c r="AE43" s="19"/>
    </row>
    <row r="44" spans="1:31" ht="8.25" customHeight="1">
      <c r="A44" s="18">
        <f>SUM(0+D44)</f>
        <v>99.6</v>
      </c>
      <c r="B44" s="19" t="s">
        <v>279</v>
      </c>
      <c r="C44" s="20" t="s">
        <v>24</v>
      </c>
      <c r="D44" s="25">
        <f>SUM(E44:AE44)</f>
        <v>99.6</v>
      </c>
      <c r="E44" s="25"/>
      <c r="F44" s="25"/>
      <c r="G44" s="25"/>
      <c r="H44" s="25"/>
      <c r="I44" s="25"/>
      <c r="J44" s="25"/>
      <c r="K44" s="25"/>
      <c r="L44" s="25"/>
      <c r="M44" s="25"/>
      <c r="N44" s="23"/>
      <c r="O44" s="23"/>
      <c r="P44" s="23"/>
      <c r="Q44" s="23"/>
      <c r="R44" s="23"/>
      <c r="S44" s="25"/>
      <c r="T44" s="25">
        <f>83*1.2</f>
        <v>99.6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ht="8.25" customHeight="1">
      <c r="A45" s="18">
        <f>SUM(0+D45)</f>
        <v>98.37</v>
      </c>
      <c r="B45" s="19" t="s">
        <v>184</v>
      </c>
      <c r="C45" s="20" t="s">
        <v>17</v>
      </c>
      <c r="D45" s="25">
        <f>SUM(E45:AE45)</f>
        <v>98.37</v>
      </c>
      <c r="E45" s="23">
        <f>14*2.07</f>
        <v>28.979999999999997</v>
      </c>
      <c r="F45" s="23"/>
      <c r="G45" s="23">
        <f>11*1.14</f>
        <v>12.54</v>
      </c>
      <c r="H45" s="23"/>
      <c r="I45" s="23">
        <f>23*0.96</f>
        <v>22.08</v>
      </c>
      <c r="J45" s="25"/>
      <c r="K45" s="25">
        <f>11*0.65</f>
        <v>7.15</v>
      </c>
      <c r="L45" s="25"/>
      <c r="M45" s="25"/>
      <c r="N45" s="23"/>
      <c r="O45" s="23"/>
      <c r="P45" s="23"/>
      <c r="Q45" s="23">
        <f>8*0.6</f>
        <v>4.8</v>
      </c>
      <c r="R45" s="23">
        <f>56*0.22</f>
        <v>12.32</v>
      </c>
      <c r="S45" s="25"/>
      <c r="T45" s="25"/>
      <c r="U45" s="25"/>
      <c r="V45" s="25"/>
      <c r="W45" s="25">
        <f>6*1.75</f>
        <v>10.5</v>
      </c>
      <c r="X45" s="25"/>
      <c r="Y45" s="25"/>
      <c r="Z45" s="25"/>
      <c r="AA45" s="25"/>
      <c r="AB45" s="25"/>
      <c r="AC45" s="25"/>
      <c r="AD45" s="25"/>
      <c r="AE45" s="25"/>
    </row>
    <row r="46" spans="1:31" ht="8.25" customHeight="1">
      <c r="A46" s="18">
        <f>SUM(0+D46)</f>
        <v>97.46000000000001</v>
      </c>
      <c r="B46" s="19" t="s">
        <v>196</v>
      </c>
      <c r="C46" s="20" t="s">
        <v>37</v>
      </c>
      <c r="D46" s="25">
        <f>SUM(E46:AE46)</f>
        <v>97.46000000000001</v>
      </c>
      <c r="E46" s="25"/>
      <c r="F46" s="23"/>
      <c r="G46" s="23"/>
      <c r="H46" s="23"/>
      <c r="I46" s="23"/>
      <c r="J46" s="25">
        <f>7*1.1</f>
        <v>7.700000000000001</v>
      </c>
      <c r="K46" s="25"/>
      <c r="L46" s="25">
        <f>104*0.44</f>
        <v>45.76</v>
      </c>
      <c r="M46" s="25">
        <v>44</v>
      </c>
      <c r="N46" s="23"/>
      <c r="O46" s="23"/>
      <c r="P46" s="23"/>
      <c r="Q46" s="23"/>
      <c r="R46" s="23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ht="8.25" customHeight="1">
      <c r="A47" s="18">
        <f>SUM(0+D47)</f>
        <v>95.23</v>
      </c>
      <c r="B47" s="19" t="s">
        <v>263</v>
      </c>
      <c r="C47" s="20" t="s">
        <v>17</v>
      </c>
      <c r="D47" s="25">
        <f>SUM(E47:AE47)</f>
        <v>95.23</v>
      </c>
      <c r="E47" s="23"/>
      <c r="F47" s="23"/>
      <c r="G47" s="23"/>
      <c r="H47" s="23"/>
      <c r="I47" s="23"/>
      <c r="J47" s="25"/>
      <c r="K47" s="25"/>
      <c r="L47" s="25"/>
      <c r="M47" s="25"/>
      <c r="N47" s="23"/>
      <c r="O47" s="23">
        <f>107*0.89</f>
        <v>95.23</v>
      </c>
      <c r="P47" s="23"/>
      <c r="Q47" s="23"/>
      <c r="R47" s="23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ht="8.25" customHeight="1">
      <c r="A48" s="18">
        <f>SUM(0+D48)</f>
        <v>93.47999999999999</v>
      </c>
      <c r="B48" s="19" t="s">
        <v>39</v>
      </c>
      <c r="C48" s="20" t="s">
        <v>9</v>
      </c>
      <c r="D48" s="25">
        <f>SUM(E48:AE48)</f>
        <v>93.47999999999999</v>
      </c>
      <c r="E48" s="23">
        <f>38*2.07</f>
        <v>78.66</v>
      </c>
      <c r="F48" s="23"/>
      <c r="G48" s="23">
        <f>13*1.14</f>
        <v>14.819999999999999</v>
      </c>
      <c r="H48" s="23"/>
      <c r="I48" s="23"/>
      <c r="J48" s="25"/>
      <c r="K48" s="25"/>
      <c r="L48" s="25"/>
      <c r="M48" s="25"/>
      <c r="N48" s="23"/>
      <c r="O48" s="23"/>
      <c r="P48" s="23"/>
      <c r="Q48" s="23"/>
      <c r="R48" s="23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ht="8.25" customHeight="1">
      <c r="A49" s="18">
        <f>SUM(0+D49)</f>
        <v>90.05999999999999</v>
      </c>
      <c r="B49" s="19" t="s">
        <v>204</v>
      </c>
      <c r="C49" s="20" t="s">
        <v>7</v>
      </c>
      <c r="D49" s="25">
        <f>SUM(E49:AE49)</f>
        <v>90.05999999999999</v>
      </c>
      <c r="E49" s="23"/>
      <c r="F49" s="23"/>
      <c r="G49" s="23">
        <f>79*1.14</f>
        <v>90.05999999999999</v>
      </c>
      <c r="H49" s="23"/>
      <c r="I49" s="23"/>
      <c r="J49" s="25"/>
      <c r="K49" s="25"/>
      <c r="L49" s="25"/>
      <c r="M49" s="23"/>
      <c r="N49" s="23"/>
      <c r="O49" s="23"/>
      <c r="P49" s="23"/>
      <c r="Q49" s="23"/>
      <c r="R49" s="23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ht="8.25" customHeight="1">
      <c r="A50" s="18">
        <f>SUM(0+D50)</f>
        <v>84.07</v>
      </c>
      <c r="B50" s="19" t="s">
        <v>177</v>
      </c>
      <c r="C50" s="20" t="s">
        <v>24</v>
      </c>
      <c r="D50" s="25">
        <f>SUM(E50:AE50)</f>
        <v>84.07</v>
      </c>
      <c r="E50" s="23"/>
      <c r="F50" s="23"/>
      <c r="G50" s="23"/>
      <c r="H50" s="23"/>
      <c r="I50" s="23"/>
      <c r="J50" s="25"/>
      <c r="K50" s="25"/>
      <c r="L50" s="25"/>
      <c r="M50" s="25"/>
      <c r="N50" s="25"/>
      <c r="O50" s="23"/>
      <c r="P50" s="23"/>
      <c r="Q50" s="23"/>
      <c r="R50" s="23"/>
      <c r="S50" s="25"/>
      <c r="T50" s="25">
        <f>35*1.2</f>
        <v>42</v>
      </c>
      <c r="U50" s="25"/>
      <c r="V50" s="25">
        <f>27*0.91</f>
        <v>24.57</v>
      </c>
      <c r="W50" s="25">
        <f>10*1.75</f>
        <v>17.5</v>
      </c>
      <c r="X50" s="25"/>
      <c r="Y50" s="25"/>
      <c r="Z50" s="25"/>
      <c r="AA50" s="25"/>
      <c r="AB50" s="25"/>
      <c r="AC50" s="25"/>
      <c r="AD50" s="25"/>
      <c r="AE50" s="25"/>
    </row>
    <row r="51" spans="1:31" ht="8.25" customHeight="1">
      <c r="A51" s="18">
        <f>SUM(0+D51)</f>
        <v>81.64999999999999</v>
      </c>
      <c r="B51" s="19" t="s">
        <v>141</v>
      </c>
      <c r="C51" s="20" t="s">
        <v>5</v>
      </c>
      <c r="D51" s="25">
        <f>SUM(E51:AE51)</f>
        <v>81.64999999999999</v>
      </c>
      <c r="E51" s="23">
        <f>13*2.07</f>
        <v>26.909999999999997</v>
      </c>
      <c r="F51" s="23">
        <f>33*0.16</f>
        <v>5.28</v>
      </c>
      <c r="G51" s="23"/>
      <c r="H51" s="23"/>
      <c r="I51" s="23"/>
      <c r="J51" s="25"/>
      <c r="K51" s="25"/>
      <c r="L51" s="25"/>
      <c r="M51" s="23"/>
      <c r="N51" s="23">
        <f>60*0.38</f>
        <v>22.8</v>
      </c>
      <c r="O51" s="23"/>
      <c r="P51" s="23">
        <f>74*0.25</f>
        <v>18.5</v>
      </c>
      <c r="Q51" s="23"/>
      <c r="R51" s="23"/>
      <c r="S51" s="25"/>
      <c r="T51" s="25"/>
      <c r="U51" s="25"/>
      <c r="V51" s="25"/>
      <c r="W51" s="25"/>
      <c r="X51" s="25">
        <f>17*0.48</f>
        <v>8.16</v>
      </c>
      <c r="Y51" s="25"/>
      <c r="Z51" s="25"/>
      <c r="AA51" s="25"/>
      <c r="AB51" s="25"/>
      <c r="AC51" s="25"/>
      <c r="AD51" s="25"/>
      <c r="AE51" s="25"/>
    </row>
    <row r="52" spans="1:31" ht="8.25" customHeight="1">
      <c r="A52" s="18">
        <f>SUM(0+D52)</f>
        <v>81.60000000000001</v>
      </c>
      <c r="B52" s="19" t="s">
        <v>249</v>
      </c>
      <c r="C52" s="39" t="s">
        <v>251</v>
      </c>
      <c r="D52" s="25">
        <f>SUM(E52:AE52)</f>
        <v>81.60000000000001</v>
      </c>
      <c r="E52" s="19"/>
      <c r="F52" s="23"/>
      <c r="G52" s="19"/>
      <c r="H52" s="19"/>
      <c r="I52" s="23"/>
      <c r="J52" s="25"/>
      <c r="K52" s="25">
        <f>13*0.65</f>
        <v>8.450000000000001</v>
      </c>
      <c r="L52" s="25"/>
      <c r="M52" s="25"/>
      <c r="N52" s="23"/>
      <c r="O52" s="23"/>
      <c r="P52" s="23"/>
      <c r="Q52" s="23"/>
      <c r="R52" s="23"/>
      <c r="S52" s="25"/>
      <c r="T52" s="25">
        <f>33*1.2</f>
        <v>39.6</v>
      </c>
      <c r="U52" s="25"/>
      <c r="V52" s="25"/>
      <c r="W52" s="25">
        <f>13*1.75</f>
        <v>22.75</v>
      </c>
      <c r="X52" s="19"/>
      <c r="Y52" s="19">
        <f>10*1.08</f>
        <v>10.8</v>
      </c>
      <c r="Z52" s="19"/>
      <c r="AA52" s="19"/>
      <c r="AB52" s="19"/>
      <c r="AC52" s="19"/>
      <c r="AD52" s="19"/>
      <c r="AE52" s="19"/>
    </row>
    <row r="53" spans="1:31" ht="8.25" customHeight="1">
      <c r="A53" s="18">
        <f>SUM(0+D53)</f>
        <v>81.00999999999999</v>
      </c>
      <c r="B53" s="19" t="s">
        <v>257</v>
      </c>
      <c r="C53" s="20" t="s">
        <v>35</v>
      </c>
      <c r="D53" s="25">
        <f>SUM(E53:AE53)</f>
        <v>81.00999999999999</v>
      </c>
      <c r="E53" s="19"/>
      <c r="F53" s="19"/>
      <c r="G53" s="19"/>
      <c r="H53" s="19"/>
      <c r="I53" s="19"/>
      <c r="J53" s="19"/>
      <c r="K53" s="25"/>
      <c r="L53" s="25"/>
      <c r="M53" s="25"/>
      <c r="N53" s="23">
        <f>102*0.38</f>
        <v>38.76</v>
      </c>
      <c r="O53" s="23"/>
      <c r="P53" s="23"/>
      <c r="Q53" s="23">
        <f>50*0.6</f>
        <v>30</v>
      </c>
      <c r="R53" s="23"/>
      <c r="S53" s="25"/>
      <c r="T53" s="25"/>
      <c r="U53" s="25"/>
      <c r="V53" s="25"/>
      <c r="W53" s="25">
        <f>7*1.75</f>
        <v>12.25</v>
      </c>
      <c r="X53" s="19"/>
      <c r="Y53" s="19"/>
      <c r="Z53" s="19"/>
      <c r="AA53" s="19"/>
      <c r="AB53" s="19"/>
      <c r="AC53" s="19"/>
      <c r="AD53" s="19"/>
      <c r="AE53" s="19"/>
    </row>
    <row r="54" spans="1:31" ht="8.25" customHeight="1">
      <c r="A54" s="18">
        <f>SUM(0+D54)</f>
        <v>69.02</v>
      </c>
      <c r="B54" s="19" t="s">
        <v>41</v>
      </c>
      <c r="C54" s="20" t="s">
        <v>14</v>
      </c>
      <c r="D54" s="25">
        <f>SUM(E54:AE54)</f>
        <v>69.02</v>
      </c>
      <c r="E54" s="23">
        <f>26*2.07</f>
        <v>53.81999999999999</v>
      </c>
      <c r="F54" s="23"/>
      <c r="G54" s="23"/>
      <c r="H54" s="23"/>
      <c r="I54" s="23"/>
      <c r="J54" s="25"/>
      <c r="K54" s="25"/>
      <c r="L54" s="25"/>
      <c r="M54" s="23"/>
      <c r="N54" s="23">
        <f>9*0.38</f>
        <v>3.42</v>
      </c>
      <c r="O54" s="23"/>
      <c r="P54" s="23">
        <f>26*0.25</f>
        <v>6.5</v>
      </c>
      <c r="Q54" s="23"/>
      <c r="R54" s="23"/>
      <c r="S54" s="25"/>
      <c r="T54" s="25"/>
      <c r="U54" s="25"/>
      <c r="V54" s="25"/>
      <c r="W54" s="25"/>
      <c r="X54" s="25">
        <f>11*0.48</f>
        <v>5.279999999999999</v>
      </c>
      <c r="Y54" s="25"/>
      <c r="Z54" s="25"/>
      <c r="AA54" s="25"/>
      <c r="AB54" s="25"/>
      <c r="AC54" s="25"/>
      <c r="AD54" s="25"/>
      <c r="AE54" s="25"/>
    </row>
    <row r="55" spans="1:31" ht="8.25" customHeight="1">
      <c r="A55" s="18">
        <f>SUM(0+D55)</f>
        <v>66.23</v>
      </c>
      <c r="B55" s="19" t="s">
        <v>216</v>
      </c>
      <c r="C55" s="20" t="s">
        <v>14</v>
      </c>
      <c r="D55" s="25">
        <f>SUM(E55:AE55)</f>
        <v>66.23</v>
      </c>
      <c r="E55" s="25"/>
      <c r="F55" s="23"/>
      <c r="G55" s="23"/>
      <c r="H55" s="23"/>
      <c r="I55" s="23"/>
      <c r="J55" s="25">
        <f>40*1.1</f>
        <v>44</v>
      </c>
      <c r="K55" s="25"/>
      <c r="L55" s="25"/>
      <c r="M55" s="25"/>
      <c r="N55" s="23"/>
      <c r="O55" s="23"/>
      <c r="P55" s="23"/>
      <c r="Q55" s="23"/>
      <c r="R55" s="23"/>
      <c r="S55" s="25"/>
      <c r="T55" s="25"/>
      <c r="U55" s="25"/>
      <c r="V55" s="25"/>
      <c r="W55" s="25">
        <f>9*1.75</f>
        <v>15.75</v>
      </c>
      <c r="X55" s="25"/>
      <c r="Y55" s="25">
        <f>6*1.08</f>
        <v>6.48</v>
      </c>
      <c r="Z55" s="25"/>
      <c r="AA55" s="25"/>
      <c r="AB55" s="25"/>
      <c r="AC55" s="25"/>
      <c r="AD55" s="25"/>
      <c r="AE55" s="25"/>
    </row>
    <row r="56" spans="1:31" ht="8.25" customHeight="1">
      <c r="A56" s="18">
        <f>SUM(0+D56)</f>
        <v>63.31</v>
      </c>
      <c r="B56" s="19" t="s">
        <v>20</v>
      </c>
      <c r="C56" s="20" t="s">
        <v>17</v>
      </c>
      <c r="D56" s="25">
        <f>SUM(E56:AE56)</f>
        <v>63.31</v>
      </c>
      <c r="E56" s="23">
        <f>7*2.07</f>
        <v>14.489999999999998</v>
      </c>
      <c r="F56" s="23">
        <f>51*0.16</f>
        <v>8.16</v>
      </c>
      <c r="G56" s="23"/>
      <c r="H56" s="23"/>
      <c r="I56" s="23"/>
      <c r="J56" s="25"/>
      <c r="K56" s="25">
        <f>9*0.65</f>
        <v>5.8500000000000005</v>
      </c>
      <c r="L56" s="25"/>
      <c r="M56" s="23"/>
      <c r="N56" s="23">
        <f>37*0.38</f>
        <v>14.06</v>
      </c>
      <c r="O56" s="23"/>
      <c r="P56" s="23">
        <f>83*0.25</f>
        <v>20.75</v>
      </c>
      <c r="Q56" s="23"/>
      <c r="R56" s="23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ht="8.25" customHeight="1">
      <c r="A57" s="18">
        <f>SUM(0+D57)</f>
        <v>60.269999999999996</v>
      </c>
      <c r="B57" s="19" t="s">
        <v>284</v>
      </c>
      <c r="C57" s="20" t="s">
        <v>14</v>
      </c>
      <c r="D57" s="25">
        <f>SUM(E57:AE57)</f>
        <v>60.269999999999996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5"/>
      <c r="T57" s="25">
        <f>11*1.2</f>
        <v>13.2</v>
      </c>
      <c r="U57" s="25"/>
      <c r="V57" s="25"/>
      <c r="W57" s="25">
        <f>9*1.75</f>
        <v>15.75</v>
      </c>
      <c r="X57" s="25"/>
      <c r="Y57" s="25">
        <f>29*1.08</f>
        <v>31.32</v>
      </c>
      <c r="Z57" s="25"/>
      <c r="AA57" s="25"/>
      <c r="AB57" s="25"/>
      <c r="AC57" s="25"/>
      <c r="AD57" s="25"/>
      <c r="AE57" s="25"/>
    </row>
    <row r="58" spans="1:31" ht="8.25" customHeight="1">
      <c r="A58" s="18">
        <f>SUM(0+D58)</f>
        <v>58.36</v>
      </c>
      <c r="B58" s="19" t="s">
        <v>264</v>
      </c>
      <c r="C58" s="20" t="s">
        <v>17</v>
      </c>
      <c r="D58" s="25">
        <f>SUM(E58:AE58)</f>
        <v>58.36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>
        <f>43*0.89</f>
        <v>38.27</v>
      </c>
      <c r="P58" s="23">
        <f>9*0.25</f>
        <v>2.25</v>
      </c>
      <c r="Q58" s="23"/>
      <c r="R58" s="23"/>
      <c r="S58" s="25">
        <f>16*0.2</f>
        <v>3.2</v>
      </c>
      <c r="T58" s="25">
        <f>9*1.2</f>
        <v>10.799999999999999</v>
      </c>
      <c r="U58" s="25"/>
      <c r="V58" s="25"/>
      <c r="W58" s="25"/>
      <c r="X58" s="25">
        <f>8*0.48</f>
        <v>3.84</v>
      </c>
      <c r="Y58" s="25"/>
      <c r="Z58" s="25"/>
      <c r="AA58" s="25"/>
      <c r="AB58" s="25"/>
      <c r="AC58" s="25"/>
      <c r="AD58" s="25"/>
      <c r="AE58" s="25"/>
    </row>
    <row r="59" spans="1:31" ht="8.25" customHeight="1">
      <c r="A59" s="18">
        <f>SUM(0+D59)</f>
        <v>57.75</v>
      </c>
      <c r="B59" s="19" t="s">
        <v>289</v>
      </c>
      <c r="C59" s="20" t="s">
        <v>21</v>
      </c>
      <c r="D59" s="25">
        <f>SUM(E59:AE59)</f>
        <v>57.75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5"/>
      <c r="T59" s="25"/>
      <c r="U59" s="25"/>
      <c r="V59" s="25"/>
      <c r="W59" s="25">
        <f>33*1.75</f>
        <v>57.75</v>
      </c>
      <c r="X59" s="25"/>
      <c r="Y59" s="25"/>
      <c r="Z59" s="25"/>
      <c r="AA59" s="25"/>
      <c r="AB59" s="25"/>
      <c r="AC59" s="25"/>
      <c r="AD59" s="25"/>
      <c r="AE59" s="25"/>
    </row>
    <row r="60" spans="1:31" ht="8.25" customHeight="1">
      <c r="A60" s="18">
        <f>SUM(0+D60)</f>
        <v>57.080000000000005</v>
      </c>
      <c r="B60" s="19" t="s">
        <v>208</v>
      </c>
      <c r="C60" s="20" t="s">
        <v>7</v>
      </c>
      <c r="D60" s="25">
        <f>SUM(E60:AE60)</f>
        <v>57.080000000000005</v>
      </c>
      <c r="E60" s="25"/>
      <c r="F60" s="23"/>
      <c r="G60" s="23">
        <f>16*1.14</f>
        <v>18.24</v>
      </c>
      <c r="H60" s="23"/>
      <c r="I60" s="23"/>
      <c r="J60" s="25"/>
      <c r="K60" s="25"/>
      <c r="L60" s="25"/>
      <c r="M60" s="25"/>
      <c r="N60" s="23">
        <f>48*0.38</f>
        <v>18.240000000000002</v>
      </c>
      <c r="O60" s="23"/>
      <c r="P60" s="23"/>
      <c r="Q60" s="23">
        <f>11*0.6</f>
        <v>6.6</v>
      </c>
      <c r="R60" s="23"/>
      <c r="S60" s="25"/>
      <c r="T60" s="25"/>
      <c r="U60" s="25"/>
      <c r="V60" s="25"/>
      <c r="W60" s="25">
        <f>8*1.75</f>
        <v>14</v>
      </c>
      <c r="X60" s="25"/>
      <c r="Y60" s="25"/>
      <c r="Z60" s="25"/>
      <c r="AA60" s="25"/>
      <c r="AB60" s="25"/>
      <c r="AC60" s="25"/>
      <c r="AD60" s="25"/>
      <c r="AE60" s="25"/>
    </row>
    <row r="61" spans="1:31" ht="8.25" customHeight="1">
      <c r="A61" s="18">
        <f>SUM(0+D61)</f>
        <v>51.6</v>
      </c>
      <c r="B61" s="19" t="s">
        <v>281</v>
      </c>
      <c r="C61" s="20" t="s">
        <v>24</v>
      </c>
      <c r="D61" s="25">
        <f>SUM(E61:AE61)</f>
        <v>51.6</v>
      </c>
      <c r="E61" s="25"/>
      <c r="F61" s="25"/>
      <c r="G61" s="25"/>
      <c r="H61" s="25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5"/>
      <c r="T61" s="25">
        <f>43*1.2</f>
        <v>51.6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ht="8.25" customHeight="1">
      <c r="A62" s="18">
        <f>SUM(0+D62)</f>
        <v>50.440000000000005</v>
      </c>
      <c r="B62" s="19" t="s">
        <v>223</v>
      </c>
      <c r="C62" s="20" t="s">
        <v>17</v>
      </c>
      <c r="D62" s="25">
        <f>SUM(E62:AE62)</f>
        <v>50.440000000000005</v>
      </c>
      <c r="E62" s="23"/>
      <c r="F62" s="23"/>
      <c r="G62" s="23"/>
      <c r="H62" s="23">
        <f>43*0.27</f>
        <v>11.610000000000001</v>
      </c>
      <c r="I62" s="23"/>
      <c r="J62" s="25"/>
      <c r="K62" s="25"/>
      <c r="L62" s="25"/>
      <c r="M62" s="25"/>
      <c r="N62" s="23"/>
      <c r="O62" s="23">
        <f>33*0.89</f>
        <v>29.37</v>
      </c>
      <c r="P62" s="23"/>
      <c r="Q62" s="23"/>
      <c r="R62" s="23">
        <f>43*0.22</f>
        <v>9.46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ht="8.25" customHeight="1">
      <c r="A63" s="18">
        <f>SUM(0+D63)</f>
        <v>45.21</v>
      </c>
      <c r="B63" s="19" t="s">
        <v>89</v>
      </c>
      <c r="C63" s="20" t="s">
        <v>7</v>
      </c>
      <c r="D63" s="25">
        <f>SUM(E63:AE63)</f>
        <v>45.21</v>
      </c>
      <c r="E63" s="23">
        <f>11*2.07</f>
        <v>22.77</v>
      </c>
      <c r="F63" s="23"/>
      <c r="G63" s="23">
        <f>11*1.14</f>
        <v>12.54</v>
      </c>
      <c r="H63" s="23"/>
      <c r="I63" s="23"/>
      <c r="J63" s="25">
        <f>9*1.1</f>
        <v>9.9</v>
      </c>
      <c r="K63" s="25"/>
      <c r="L63" s="25"/>
      <c r="M63" s="23"/>
      <c r="N63" s="23"/>
      <c r="O63" s="23"/>
      <c r="P63" s="23"/>
      <c r="Q63" s="23"/>
      <c r="R63" s="23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ht="8.25" customHeight="1">
      <c r="A64" s="18">
        <f>SUM(0+D64)</f>
        <v>44.459999999999994</v>
      </c>
      <c r="B64" s="19" t="s">
        <v>205</v>
      </c>
      <c r="C64" s="20" t="s">
        <v>7</v>
      </c>
      <c r="D64" s="25">
        <f>SUM(E64:AE64)</f>
        <v>44.459999999999994</v>
      </c>
      <c r="E64" s="25"/>
      <c r="F64" s="23"/>
      <c r="G64" s="23">
        <f>39*1.14</f>
        <v>44.459999999999994</v>
      </c>
      <c r="H64" s="23"/>
      <c r="I64" s="23"/>
      <c r="J64" s="25"/>
      <c r="K64" s="25"/>
      <c r="L64" s="25"/>
      <c r="M64" s="25"/>
      <c r="N64" s="23"/>
      <c r="O64" s="23"/>
      <c r="P64" s="23"/>
      <c r="Q64" s="23"/>
      <c r="R64" s="23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ht="8.25" customHeight="1">
      <c r="A65" s="18">
        <f>SUM(0+D65)</f>
        <v>39.6</v>
      </c>
      <c r="B65" s="19" t="s">
        <v>282</v>
      </c>
      <c r="C65" s="20" t="s">
        <v>14</v>
      </c>
      <c r="D65" s="25">
        <f>SUM(E65:AE65)</f>
        <v>39.6</v>
      </c>
      <c r="E65" s="19"/>
      <c r="F65" s="19"/>
      <c r="G65" s="19"/>
      <c r="H65" s="19"/>
      <c r="I65" s="19"/>
      <c r="J65" s="19"/>
      <c r="K65" s="19"/>
      <c r="L65" s="19"/>
      <c r="M65" s="25"/>
      <c r="N65" s="25"/>
      <c r="O65" s="25"/>
      <c r="P65" s="25"/>
      <c r="Q65" s="25"/>
      <c r="R65" s="23"/>
      <c r="S65" s="25"/>
      <c r="T65" s="25">
        <f>33*1.2</f>
        <v>39.6</v>
      </c>
      <c r="U65" s="25"/>
      <c r="V65" s="25"/>
      <c r="W65" s="25"/>
      <c r="X65" s="19"/>
      <c r="Y65" s="19"/>
      <c r="Z65" s="19"/>
      <c r="AA65" s="19"/>
      <c r="AB65" s="19"/>
      <c r="AC65" s="19"/>
      <c r="AD65" s="19"/>
      <c r="AE65" s="19"/>
    </row>
    <row r="66" spans="1:31" ht="8.25" customHeight="1">
      <c r="A66" s="18">
        <f>SUM(0+D66)</f>
        <v>36.6</v>
      </c>
      <c r="B66" s="19" t="s">
        <v>273</v>
      </c>
      <c r="C66" s="20" t="s">
        <v>17</v>
      </c>
      <c r="D66" s="25">
        <f>SUM(E66:AE66)</f>
        <v>36.6</v>
      </c>
      <c r="E66" s="25"/>
      <c r="F66" s="25"/>
      <c r="G66" s="25"/>
      <c r="H66" s="25"/>
      <c r="I66" s="25"/>
      <c r="J66" s="23"/>
      <c r="K66" s="23"/>
      <c r="L66" s="23"/>
      <c r="M66" s="23"/>
      <c r="N66" s="23"/>
      <c r="O66" s="23"/>
      <c r="P66" s="23"/>
      <c r="Q66" s="23"/>
      <c r="R66" s="23"/>
      <c r="S66" s="25">
        <f>183*0.2</f>
        <v>36.6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ht="8.25" customHeight="1">
      <c r="A67" s="18">
        <f>SUM(0+D67)</f>
        <v>35.31</v>
      </c>
      <c r="B67" s="19" t="s">
        <v>191</v>
      </c>
      <c r="C67" s="20" t="s">
        <v>14</v>
      </c>
      <c r="D67" s="25">
        <f>SUM(E67:AE67)</f>
        <v>35.31</v>
      </c>
      <c r="E67" s="23">
        <f>11*2.07</f>
        <v>22.77</v>
      </c>
      <c r="F67" s="23"/>
      <c r="G67" s="23">
        <f>11*1.14</f>
        <v>12.54</v>
      </c>
      <c r="H67" s="23"/>
      <c r="I67" s="23"/>
      <c r="J67" s="25"/>
      <c r="K67" s="25"/>
      <c r="L67" s="25"/>
      <c r="M67" s="25"/>
      <c r="N67" s="23"/>
      <c r="O67" s="23"/>
      <c r="P67" s="23"/>
      <c r="Q67" s="23"/>
      <c r="R67" s="23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ht="8.25" customHeight="1">
      <c r="A68" s="18">
        <f>SUM(0+D68)</f>
        <v>34.22</v>
      </c>
      <c r="B68" s="19" t="s">
        <v>285</v>
      </c>
      <c r="C68" s="20" t="s">
        <v>21</v>
      </c>
      <c r="D68" s="25">
        <f>SUM(E68:AE68)</f>
        <v>34.22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5"/>
      <c r="T68" s="25">
        <f>6*1.2</f>
        <v>7.199999999999999</v>
      </c>
      <c r="U68" s="25"/>
      <c r="V68" s="25">
        <f>6*0.91</f>
        <v>5.46</v>
      </c>
      <c r="W68" s="25">
        <f>8*1.75</f>
        <v>14</v>
      </c>
      <c r="X68" s="25"/>
      <c r="Y68" s="25">
        <f>7*1.08</f>
        <v>7.5600000000000005</v>
      </c>
      <c r="Z68" s="25"/>
      <c r="AA68" s="25"/>
      <c r="AB68" s="25"/>
      <c r="AC68" s="25"/>
      <c r="AD68" s="25"/>
      <c r="AE68" s="25"/>
    </row>
    <row r="69" spans="1:31" ht="8.25" customHeight="1">
      <c r="A69" s="18">
        <f>SUM(0+D69)</f>
        <v>33.480000000000004</v>
      </c>
      <c r="B69" s="19" t="s">
        <v>164</v>
      </c>
      <c r="C69" s="20" t="s">
        <v>21</v>
      </c>
      <c r="D69" s="25">
        <f>SUM(E69:AE69)</f>
        <v>33.480000000000004</v>
      </c>
      <c r="E69" s="23"/>
      <c r="F69" s="23"/>
      <c r="G69" s="23"/>
      <c r="H69" s="23"/>
      <c r="I69" s="23"/>
      <c r="J69" s="25"/>
      <c r="K69" s="25"/>
      <c r="L69" s="25"/>
      <c r="M69" s="25"/>
      <c r="N69" s="25"/>
      <c r="O69" s="25"/>
      <c r="P69" s="25"/>
      <c r="Q69" s="25"/>
      <c r="R69" s="23"/>
      <c r="S69" s="25"/>
      <c r="T69" s="25"/>
      <c r="U69" s="25"/>
      <c r="V69" s="25"/>
      <c r="W69" s="25"/>
      <c r="X69" s="25"/>
      <c r="Y69" s="25">
        <f>31*1.08</f>
        <v>33.480000000000004</v>
      </c>
      <c r="Z69" s="25"/>
      <c r="AA69" s="25"/>
      <c r="AB69" s="25"/>
      <c r="AC69" s="25"/>
      <c r="AD69" s="25"/>
      <c r="AE69" s="25"/>
    </row>
    <row r="70" spans="1:31" ht="8.25" customHeight="1">
      <c r="A70" s="18">
        <f>SUM(0+D70)</f>
        <v>32.56</v>
      </c>
      <c r="B70" s="19" t="s">
        <v>187</v>
      </c>
      <c r="C70" s="20" t="s">
        <v>7</v>
      </c>
      <c r="D70" s="25">
        <f>SUM(E70:AE70)</f>
        <v>32.56</v>
      </c>
      <c r="E70" s="23"/>
      <c r="F70" s="23"/>
      <c r="G70" s="23"/>
      <c r="H70" s="23"/>
      <c r="I70" s="23"/>
      <c r="J70" s="25">
        <f>16*1.1</f>
        <v>17.6</v>
      </c>
      <c r="K70" s="25"/>
      <c r="L70" s="25">
        <f>9*0.44</f>
        <v>3.96</v>
      </c>
      <c r="M70" s="23">
        <v>11</v>
      </c>
      <c r="N70" s="23"/>
      <c r="O70" s="23"/>
      <c r="P70" s="23"/>
      <c r="Q70" s="23"/>
      <c r="R70" s="23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ht="8.25" customHeight="1">
      <c r="A71" s="18">
        <f>SUM(0+D71)</f>
        <v>31.2</v>
      </c>
      <c r="B71" s="19" t="s">
        <v>283</v>
      </c>
      <c r="C71" s="20" t="s">
        <v>24</v>
      </c>
      <c r="D71" s="25">
        <f>SUM(E71:AE71)</f>
        <v>31.2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3"/>
      <c r="S71" s="25"/>
      <c r="T71" s="25">
        <f>26*1.2</f>
        <v>31.2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ht="8.25" customHeight="1">
      <c r="A72" s="18">
        <f>SUM(0+D72)</f>
        <v>30.07</v>
      </c>
      <c r="B72" s="19" t="s">
        <v>188</v>
      </c>
      <c r="C72" s="20" t="s">
        <v>37</v>
      </c>
      <c r="D72" s="25">
        <f>SUM(E72:AE72)</f>
        <v>30.07</v>
      </c>
      <c r="E72" s="23">
        <f>9*2.07</f>
        <v>18.63</v>
      </c>
      <c r="F72" s="23"/>
      <c r="G72" s="23"/>
      <c r="H72" s="23"/>
      <c r="I72" s="23"/>
      <c r="J72" s="25"/>
      <c r="K72" s="25"/>
      <c r="L72" s="25">
        <f>26*0.44</f>
        <v>11.44</v>
      </c>
      <c r="M72" s="25"/>
      <c r="N72" s="23"/>
      <c r="O72" s="23"/>
      <c r="P72" s="23"/>
      <c r="Q72" s="23"/>
      <c r="R72" s="23"/>
      <c r="S72" s="25"/>
      <c r="T72" s="25"/>
      <c r="U72" s="25"/>
      <c r="V72" s="25"/>
      <c r="W72" s="25"/>
      <c r="X72" s="19"/>
      <c r="Y72" s="19"/>
      <c r="Z72" s="19"/>
      <c r="AA72" s="19"/>
      <c r="AB72" s="19"/>
      <c r="AC72" s="19"/>
      <c r="AD72" s="19"/>
      <c r="AE72" s="19"/>
    </row>
    <row r="73" spans="1:31" ht="8.25" customHeight="1">
      <c r="A73" s="18">
        <f>SUM(0+D73)</f>
        <v>29.099999999999998</v>
      </c>
      <c r="B73" s="19" t="s">
        <v>72</v>
      </c>
      <c r="C73" s="20" t="s">
        <v>7</v>
      </c>
      <c r="D73" s="25">
        <f>SUM(E73:AE73)</f>
        <v>29.099999999999998</v>
      </c>
      <c r="E73" s="23">
        <f>8*2.07</f>
        <v>16.56</v>
      </c>
      <c r="F73" s="23"/>
      <c r="G73" s="23">
        <f>11*1.14</f>
        <v>12.54</v>
      </c>
      <c r="H73" s="23"/>
      <c r="I73" s="23"/>
      <c r="J73" s="25"/>
      <c r="K73" s="25"/>
      <c r="L73" s="25"/>
      <c r="M73" s="25"/>
      <c r="N73" s="23"/>
      <c r="O73" s="23"/>
      <c r="P73" s="23"/>
      <c r="Q73" s="23"/>
      <c r="R73" s="23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ht="8.25" customHeight="1">
      <c r="A74" s="18">
        <f>SUM(0+D74)</f>
        <v>27.96</v>
      </c>
      <c r="B74" s="19" t="s">
        <v>259</v>
      </c>
      <c r="C74" s="20" t="s">
        <v>5</v>
      </c>
      <c r="D74" s="25">
        <f>SUM(E74:AE74)</f>
        <v>27.96</v>
      </c>
      <c r="E74" s="25"/>
      <c r="F74" s="25"/>
      <c r="G74" s="25"/>
      <c r="H74" s="25"/>
      <c r="I74" s="25"/>
      <c r="J74" s="25"/>
      <c r="K74" s="25"/>
      <c r="L74" s="25"/>
      <c r="M74" s="25"/>
      <c r="N74" s="23">
        <f>22*0.38</f>
        <v>8.36</v>
      </c>
      <c r="O74" s="23"/>
      <c r="P74" s="23">
        <f>52*0.25</f>
        <v>13</v>
      </c>
      <c r="Q74" s="23">
        <f>11*0.6</f>
        <v>6.6</v>
      </c>
      <c r="R74" s="23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8.25" customHeight="1">
      <c r="A75" s="18">
        <f>SUM(0+D75)</f>
        <v>23.200000000000003</v>
      </c>
      <c r="B75" s="19" t="s">
        <v>272</v>
      </c>
      <c r="C75" s="20" t="s">
        <v>17</v>
      </c>
      <c r="D75" s="25">
        <f>SUM(E75:AE75)</f>
        <v>23.200000000000003</v>
      </c>
      <c r="E75" s="19"/>
      <c r="F75" s="19"/>
      <c r="G75" s="19"/>
      <c r="H75" s="19"/>
      <c r="I75" s="19"/>
      <c r="J75" s="19"/>
      <c r="K75" s="19"/>
      <c r="L75" s="19"/>
      <c r="M75" s="25"/>
      <c r="N75" s="23"/>
      <c r="O75" s="23"/>
      <c r="P75" s="23"/>
      <c r="Q75" s="23"/>
      <c r="R75" s="23"/>
      <c r="S75" s="25">
        <f>116*0.2</f>
        <v>23.200000000000003</v>
      </c>
      <c r="T75" s="25"/>
      <c r="U75" s="25"/>
      <c r="V75" s="25"/>
      <c r="W75" s="25"/>
      <c r="X75" s="19"/>
      <c r="Y75" s="19"/>
      <c r="Z75" s="19"/>
      <c r="AA75" s="19"/>
      <c r="AB75" s="19"/>
      <c r="AC75" s="19"/>
      <c r="AD75" s="19"/>
      <c r="AE75" s="19"/>
    </row>
    <row r="76" spans="1:31" ht="8.25" customHeight="1">
      <c r="A76" s="18">
        <f>SUM(0+D76)</f>
        <v>23.14</v>
      </c>
      <c r="B76" s="19" t="s">
        <v>224</v>
      </c>
      <c r="C76" s="20" t="s">
        <v>17</v>
      </c>
      <c r="D76" s="25">
        <f>SUM(E76:AE76)</f>
        <v>23.14</v>
      </c>
      <c r="E76" s="25"/>
      <c r="F76" s="25"/>
      <c r="G76" s="25"/>
      <c r="H76" s="25"/>
      <c r="I76" s="25"/>
      <c r="J76" s="25"/>
      <c r="K76" s="25"/>
      <c r="L76" s="25"/>
      <c r="M76" s="25"/>
      <c r="N76" s="23"/>
      <c r="O76" s="23">
        <f>26*0.89</f>
        <v>23.14</v>
      </c>
      <c r="P76" s="23"/>
      <c r="Q76" s="23"/>
      <c r="R76" s="23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ht="8.25" customHeight="1">
      <c r="A77" s="18">
        <f>SUM(0+D77)</f>
        <v>22.77</v>
      </c>
      <c r="B77" s="19" t="s">
        <v>71</v>
      </c>
      <c r="C77" s="20" t="s">
        <v>7</v>
      </c>
      <c r="D77" s="25">
        <f>SUM(E77:AE77)</f>
        <v>22.77</v>
      </c>
      <c r="E77" s="23">
        <f>11*2.07</f>
        <v>22.77</v>
      </c>
      <c r="F77" s="23"/>
      <c r="G77" s="23"/>
      <c r="H77" s="23"/>
      <c r="I77" s="23"/>
      <c r="J77" s="25"/>
      <c r="K77" s="25"/>
      <c r="L77" s="25"/>
      <c r="M77" s="23"/>
      <c r="N77" s="23"/>
      <c r="O77" s="23"/>
      <c r="P77" s="23"/>
      <c r="Q77" s="23"/>
      <c r="R77" s="23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t="8.25" customHeight="1">
      <c r="A78" s="18">
        <f>SUM(0+D78)</f>
        <v>22.36</v>
      </c>
      <c r="B78" s="19" t="s">
        <v>210</v>
      </c>
      <c r="C78" s="20" t="s">
        <v>7</v>
      </c>
      <c r="D78" s="25">
        <f>SUM(E78:AE78)</f>
        <v>22.36</v>
      </c>
      <c r="E78" s="25"/>
      <c r="F78" s="23"/>
      <c r="G78" s="23">
        <f>9*1.14</f>
        <v>10.26</v>
      </c>
      <c r="H78" s="23"/>
      <c r="I78" s="23"/>
      <c r="J78" s="25">
        <f>11*1.1</f>
        <v>12.100000000000001</v>
      </c>
      <c r="K78" s="25"/>
      <c r="L78" s="25"/>
      <c r="M78" s="25"/>
      <c r="N78" s="23"/>
      <c r="O78" s="23"/>
      <c r="P78" s="23"/>
      <c r="Q78" s="23"/>
      <c r="R78" s="23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8.25" customHeight="1">
      <c r="A79" s="18">
        <f>SUM(0+D79)</f>
        <v>19.28</v>
      </c>
      <c r="B79" s="19" t="s">
        <v>91</v>
      </c>
      <c r="C79" s="20" t="s">
        <v>92</v>
      </c>
      <c r="D79" s="25">
        <f>SUM(E79:AE79)</f>
        <v>19.28</v>
      </c>
      <c r="E79" s="25"/>
      <c r="F79" s="23"/>
      <c r="G79" s="25"/>
      <c r="H79" s="25"/>
      <c r="I79" s="23">
        <f>9*0.96</f>
        <v>8.64</v>
      </c>
      <c r="J79" s="25"/>
      <c r="K79" s="25"/>
      <c r="L79" s="25"/>
      <c r="M79" s="25"/>
      <c r="N79" s="23">
        <f>28*0.38</f>
        <v>10.64</v>
      </c>
      <c r="O79" s="23"/>
      <c r="P79" s="23"/>
      <c r="Q79" s="23"/>
      <c r="R79" s="23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ht="8.25" customHeight="1">
      <c r="A80" s="18">
        <f>SUM(0+D80)</f>
        <v>18.63</v>
      </c>
      <c r="B80" s="19" t="s">
        <v>80</v>
      </c>
      <c r="C80" s="20" t="s">
        <v>12</v>
      </c>
      <c r="D80" s="25">
        <f>SUM(E80:AE80)</f>
        <v>18.63</v>
      </c>
      <c r="E80" s="23">
        <f>9*2.07</f>
        <v>18.63</v>
      </c>
      <c r="F80" s="23"/>
      <c r="G80" s="23"/>
      <c r="H80" s="23"/>
      <c r="I80" s="23"/>
      <c r="J80" s="25"/>
      <c r="K80" s="25"/>
      <c r="L80" s="25"/>
      <c r="M80" s="25"/>
      <c r="N80" s="23"/>
      <c r="O80" s="23"/>
      <c r="P80" s="23"/>
      <c r="Q80" s="23"/>
      <c r="R80" s="23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ht="8.25" customHeight="1">
      <c r="A81" s="18">
        <f>SUM(0+D81)</f>
        <v>18.36</v>
      </c>
      <c r="B81" s="19" t="s">
        <v>165</v>
      </c>
      <c r="C81" s="20" t="s">
        <v>21</v>
      </c>
      <c r="D81" s="25">
        <f>SUM(E81:AE81)</f>
        <v>18.36</v>
      </c>
      <c r="E81" s="19"/>
      <c r="F81" s="23"/>
      <c r="G81" s="19"/>
      <c r="H81" s="23"/>
      <c r="I81" s="23">
        <f>9*0.96</f>
        <v>8.64</v>
      </c>
      <c r="J81" s="25"/>
      <c r="K81" s="25"/>
      <c r="L81" s="25"/>
      <c r="M81" s="25"/>
      <c r="N81" s="23"/>
      <c r="O81" s="23"/>
      <c r="P81" s="23"/>
      <c r="Q81" s="23"/>
      <c r="R81" s="23"/>
      <c r="S81" s="25"/>
      <c r="T81" s="25"/>
      <c r="U81" s="25"/>
      <c r="V81" s="25"/>
      <c r="W81" s="25"/>
      <c r="X81" s="19"/>
      <c r="Y81" s="19">
        <f>9*1.08</f>
        <v>9.72</v>
      </c>
      <c r="Z81" s="19"/>
      <c r="AA81" s="19"/>
      <c r="AB81" s="19"/>
      <c r="AC81" s="19"/>
      <c r="AD81" s="19"/>
      <c r="AE81" s="19"/>
    </row>
    <row r="82" spans="1:31" ht="8.25" customHeight="1">
      <c r="A82" s="18">
        <f>SUM(0+D82)</f>
        <v>16.78</v>
      </c>
      <c r="B82" s="19" t="s">
        <v>209</v>
      </c>
      <c r="C82" s="20" t="s">
        <v>7</v>
      </c>
      <c r="D82" s="25">
        <f>SUM(E82:AE82)</f>
        <v>16.78</v>
      </c>
      <c r="E82" s="25"/>
      <c r="F82" s="23"/>
      <c r="G82" s="23">
        <f>7*1.14</f>
        <v>7.9799999999999995</v>
      </c>
      <c r="H82" s="23"/>
      <c r="I82" s="23"/>
      <c r="J82" s="25">
        <f>8*1.1</f>
        <v>8.8</v>
      </c>
      <c r="K82" s="25"/>
      <c r="L82" s="25"/>
      <c r="M82" s="25"/>
      <c r="N82" s="23"/>
      <c r="O82" s="23"/>
      <c r="P82" s="23"/>
      <c r="Q82" s="23"/>
      <c r="R82" s="23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ht="8.25" customHeight="1">
      <c r="A83" s="18">
        <f>SUM(0+D83)</f>
        <v>15.200000000000001</v>
      </c>
      <c r="B83" s="19" t="s">
        <v>274</v>
      </c>
      <c r="C83" s="20" t="s">
        <v>17</v>
      </c>
      <c r="D83" s="25">
        <f>SUM(E83:AE83)</f>
        <v>15.200000000000001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3"/>
      <c r="P83" s="23"/>
      <c r="Q83" s="23"/>
      <c r="R83" s="23"/>
      <c r="S83" s="25">
        <f>76*0.2</f>
        <v>15.200000000000001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ht="8.25" customHeight="1">
      <c r="A84" s="18">
        <f>SUM(0+D84)</f>
        <v>14.83</v>
      </c>
      <c r="B84" s="19" t="s">
        <v>235</v>
      </c>
      <c r="C84" s="20" t="s">
        <v>14</v>
      </c>
      <c r="D84" s="25">
        <f>SUM(E84:AE84)</f>
        <v>14.83</v>
      </c>
      <c r="E84" s="23"/>
      <c r="F84" s="23"/>
      <c r="G84" s="23"/>
      <c r="H84" s="23"/>
      <c r="I84" s="23">
        <f>8*0.96</f>
        <v>7.68</v>
      </c>
      <c r="J84" s="25"/>
      <c r="K84" s="25">
        <f>11*0.65</f>
        <v>7.15</v>
      </c>
      <c r="L84" s="25"/>
      <c r="M84" s="23"/>
      <c r="N84" s="23"/>
      <c r="O84" s="23"/>
      <c r="P84" s="23"/>
      <c r="Q84" s="23"/>
      <c r="R84" s="23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ht="8.25" customHeight="1">
      <c r="A85" s="18">
        <f>SUM(0+D85)</f>
        <v>14.43</v>
      </c>
      <c r="B85" s="19" t="s">
        <v>252</v>
      </c>
      <c r="C85" s="20" t="s">
        <v>14</v>
      </c>
      <c r="D85" s="25">
        <f>SUM(E85:AE85)</f>
        <v>14.43</v>
      </c>
      <c r="E85" s="23"/>
      <c r="F85" s="23"/>
      <c r="G85" s="23"/>
      <c r="H85" s="23"/>
      <c r="I85" s="23"/>
      <c r="J85" s="25"/>
      <c r="K85" s="25">
        <f>11*0.65</f>
        <v>7.15</v>
      </c>
      <c r="L85" s="25"/>
      <c r="M85" s="23"/>
      <c r="N85" s="23"/>
      <c r="O85" s="23"/>
      <c r="P85" s="23"/>
      <c r="Q85" s="23"/>
      <c r="R85" s="23"/>
      <c r="S85" s="25"/>
      <c r="T85" s="25"/>
      <c r="U85" s="25"/>
      <c r="V85" s="25">
        <f>8*0.91</f>
        <v>7.28</v>
      </c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ht="8.25" customHeight="1">
      <c r="A86" s="18">
        <f>SUM(0+D86)</f>
        <v>14.04</v>
      </c>
      <c r="B86" s="19" t="s">
        <v>142</v>
      </c>
      <c r="C86" s="20" t="s">
        <v>21</v>
      </c>
      <c r="D86" s="25">
        <f>SUM(E86:AE86)</f>
        <v>14.04</v>
      </c>
      <c r="E86" s="19"/>
      <c r="F86" s="19"/>
      <c r="G86" s="19"/>
      <c r="H86" s="19"/>
      <c r="I86" s="23"/>
      <c r="J86" s="19"/>
      <c r="K86" s="25">
        <f>9*0.65</f>
        <v>5.8500000000000005</v>
      </c>
      <c r="L86" s="25"/>
      <c r="M86" s="25"/>
      <c r="N86" s="23"/>
      <c r="O86" s="23"/>
      <c r="P86" s="23"/>
      <c r="Q86" s="23"/>
      <c r="R86" s="23"/>
      <c r="S86" s="25"/>
      <c r="T86" s="25"/>
      <c r="U86" s="25"/>
      <c r="V86" s="25">
        <f>9*0.91</f>
        <v>8.19</v>
      </c>
      <c r="W86" s="25"/>
      <c r="X86" s="19"/>
      <c r="Y86" s="19"/>
      <c r="Z86" s="19"/>
      <c r="AA86" s="19"/>
      <c r="AB86" s="19"/>
      <c r="AC86" s="19"/>
      <c r="AD86" s="19"/>
      <c r="AE86" s="19"/>
    </row>
    <row r="87" spans="1:31" ht="8.25" customHeight="1">
      <c r="A87" s="18">
        <f>SUM(0+D87)</f>
        <v>13.2</v>
      </c>
      <c r="B87" s="19" t="s">
        <v>40</v>
      </c>
      <c r="C87" s="20" t="s">
        <v>14</v>
      </c>
      <c r="D87" s="25">
        <f>SUM(E87:AE87)</f>
        <v>13.2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3"/>
      <c r="S87" s="25"/>
      <c r="T87" s="25">
        <f>11*1.2</f>
        <v>13.2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ht="8.25" customHeight="1">
      <c r="A88" s="18">
        <f>SUM(0+D88)</f>
        <v>10.64</v>
      </c>
      <c r="B88" s="19" t="s">
        <v>258</v>
      </c>
      <c r="C88" s="20" t="s">
        <v>7</v>
      </c>
      <c r="D88" s="25">
        <f>SUM(E88:AE88)</f>
        <v>10.64</v>
      </c>
      <c r="E88" s="19"/>
      <c r="F88" s="19"/>
      <c r="G88" s="19"/>
      <c r="H88" s="19"/>
      <c r="I88" s="19"/>
      <c r="J88" s="19"/>
      <c r="K88" s="25"/>
      <c r="L88" s="25"/>
      <c r="M88" s="25"/>
      <c r="N88" s="23">
        <f>28*0.38</f>
        <v>10.64</v>
      </c>
      <c r="O88" s="23"/>
      <c r="P88" s="23"/>
      <c r="Q88" s="23"/>
      <c r="R88" s="23"/>
      <c r="S88" s="25"/>
      <c r="T88" s="25"/>
      <c r="U88" s="25"/>
      <c r="V88" s="25"/>
      <c r="W88" s="25"/>
      <c r="X88" s="19"/>
      <c r="Y88" s="19"/>
      <c r="Z88" s="19"/>
      <c r="AA88" s="19"/>
      <c r="AB88" s="19"/>
      <c r="AC88" s="19"/>
      <c r="AD88" s="19"/>
      <c r="AE88" s="19"/>
    </row>
    <row r="89" spans="1:31" ht="8.25" customHeight="1">
      <c r="A89" s="18">
        <f>SUM(0+D89)</f>
        <v>9.25</v>
      </c>
      <c r="B89" s="19" t="s">
        <v>298</v>
      </c>
      <c r="C89" s="20" t="s">
        <v>5</v>
      </c>
      <c r="D89" s="25">
        <f>SUM(E89:AE89)</f>
        <v>9.25</v>
      </c>
      <c r="E89" s="23"/>
      <c r="F89" s="23"/>
      <c r="G89" s="23"/>
      <c r="H89" s="23"/>
      <c r="I89" s="23"/>
      <c r="J89" s="25"/>
      <c r="K89" s="25"/>
      <c r="L89" s="25"/>
      <c r="M89" s="25"/>
      <c r="N89" s="25"/>
      <c r="O89" s="25"/>
      <c r="P89" s="25">
        <f>37*0.25</f>
        <v>9.25</v>
      </c>
      <c r="Q89" s="25"/>
      <c r="R89" s="23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ht="8.25" customHeight="1">
      <c r="A90" s="18">
        <f>SUM(0+D90)</f>
        <v>9.12</v>
      </c>
      <c r="B90" s="19" t="s">
        <v>213</v>
      </c>
      <c r="C90" s="20" t="s">
        <v>14</v>
      </c>
      <c r="D90" s="25">
        <f>SUM(E90:AE90)</f>
        <v>9.12</v>
      </c>
      <c r="E90" s="25"/>
      <c r="F90" s="23"/>
      <c r="G90" s="23">
        <f>8*1.14</f>
        <v>9.12</v>
      </c>
      <c r="H90" s="23"/>
      <c r="I90" s="23"/>
      <c r="J90" s="25"/>
      <c r="K90" s="25"/>
      <c r="L90" s="25"/>
      <c r="M90" s="25"/>
      <c r="N90" s="23"/>
      <c r="O90" s="23"/>
      <c r="P90" s="23"/>
      <c r="Q90" s="23"/>
      <c r="R90" s="23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ht="8.25" customHeight="1">
      <c r="A91" s="18">
        <f>SUM(0+D91)</f>
        <v>8.91</v>
      </c>
      <c r="B91" s="19" t="s">
        <v>226</v>
      </c>
      <c r="C91" s="20" t="s">
        <v>17</v>
      </c>
      <c r="D91" s="25">
        <f>SUM(E91:AE91)</f>
        <v>8.91</v>
      </c>
      <c r="E91" s="19"/>
      <c r="F91" s="23"/>
      <c r="G91" s="19"/>
      <c r="H91" s="23">
        <f>33*0.27</f>
        <v>8.91</v>
      </c>
      <c r="I91" s="23"/>
      <c r="J91" s="25"/>
      <c r="K91" s="25"/>
      <c r="L91" s="25"/>
      <c r="M91" s="25"/>
      <c r="N91" s="23"/>
      <c r="O91" s="23"/>
      <c r="P91" s="23"/>
      <c r="Q91" s="23"/>
      <c r="R91" s="23"/>
      <c r="S91" s="25"/>
      <c r="T91" s="25"/>
      <c r="U91" s="25"/>
      <c r="V91" s="25"/>
      <c r="W91" s="25"/>
      <c r="X91" s="19"/>
      <c r="Y91" s="19"/>
      <c r="Z91" s="19"/>
      <c r="AA91" s="19"/>
      <c r="AB91" s="19"/>
      <c r="AC91" s="19"/>
      <c r="AD91" s="19"/>
      <c r="AE91" s="19"/>
    </row>
    <row r="92" spans="1:31" ht="8.25" customHeight="1">
      <c r="A92" s="18">
        <f>SUM(0+D92)</f>
        <v>8.28</v>
      </c>
      <c r="B92" s="19" t="s">
        <v>190</v>
      </c>
      <c r="C92" s="20" t="s">
        <v>14</v>
      </c>
      <c r="D92" s="25">
        <f>SUM(E92:AE92)</f>
        <v>8.28</v>
      </c>
      <c r="E92" s="23">
        <f>4*2.07</f>
        <v>8.28</v>
      </c>
      <c r="F92" s="23"/>
      <c r="G92" s="23"/>
      <c r="H92" s="23"/>
      <c r="I92" s="23"/>
      <c r="J92" s="25"/>
      <c r="K92" s="25"/>
      <c r="L92" s="25"/>
      <c r="M92" s="23"/>
      <c r="N92" s="23"/>
      <c r="O92" s="23"/>
      <c r="P92" s="23"/>
      <c r="Q92" s="23"/>
      <c r="R92" s="23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ht="8.25" customHeight="1">
      <c r="A93" s="18">
        <f>SUM(0+D93)</f>
        <v>7.15</v>
      </c>
      <c r="B93" s="19" t="s">
        <v>250</v>
      </c>
      <c r="C93" s="20" t="s">
        <v>17</v>
      </c>
      <c r="D93" s="25">
        <f>SUM(E93:AE93)</f>
        <v>7.15</v>
      </c>
      <c r="E93" s="25"/>
      <c r="F93" s="23"/>
      <c r="G93" s="25"/>
      <c r="H93" s="25"/>
      <c r="I93" s="23"/>
      <c r="J93" s="25"/>
      <c r="K93" s="25">
        <f>11*0.65</f>
        <v>7.15</v>
      </c>
      <c r="L93" s="25"/>
      <c r="M93" s="23"/>
      <c r="N93" s="23"/>
      <c r="O93" s="23"/>
      <c r="P93" s="23"/>
      <c r="Q93" s="23"/>
      <c r="R93" s="23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ht="8.25" customHeight="1">
      <c r="A94" s="18">
        <f>SUM(0+D94)</f>
        <v>6.23</v>
      </c>
      <c r="B94" s="19" t="s">
        <v>265</v>
      </c>
      <c r="C94" s="20" t="s">
        <v>17</v>
      </c>
      <c r="D94" s="25">
        <f>SUM(E94:AE94)</f>
        <v>6.23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>
        <f>7*0.89</f>
        <v>6.23</v>
      </c>
      <c r="P94" s="23"/>
      <c r="Q94" s="23"/>
      <c r="R94" s="23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ht="8.25" customHeight="1">
      <c r="A95" s="18">
        <f>SUM(0+D95)</f>
        <v>5.72</v>
      </c>
      <c r="B95" s="19" t="s">
        <v>270</v>
      </c>
      <c r="C95" s="20" t="s">
        <v>17</v>
      </c>
      <c r="D95" s="25">
        <f>SUM(E95:AE95)</f>
        <v>5.72</v>
      </c>
      <c r="E95" s="25"/>
      <c r="F95" s="25"/>
      <c r="G95" s="25"/>
      <c r="H95" s="25"/>
      <c r="I95" s="25"/>
      <c r="J95" s="23"/>
      <c r="K95" s="23"/>
      <c r="L95" s="23"/>
      <c r="M95" s="23"/>
      <c r="N95" s="23"/>
      <c r="O95" s="23"/>
      <c r="P95" s="23"/>
      <c r="Q95" s="23"/>
      <c r="R95" s="23">
        <f>26*0.22</f>
        <v>5.72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ht="8.25" customHeight="1">
      <c r="A96" s="18">
        <f>SUM(0+D96)</f>
        <v>5.3999999999999995</v>
      </c>
      <c r="B96" s="19" t="s">
        <v>292</v>
      </c>
      <c r="C96" s="20" t="s">
        <v>35</v>
      </c>
      <c r="D96" s="25">
        <f>SUM(E96:AE96)</f>
        <v>5.3999999999999995</v>
      </c>
      <c r="E96" s="23"/>
      <c r="F96" s="23"/>
      <c r="G96" s="23"/>
      <c r="H96" s="23"/>
      <c r="I96" s="23"/>
      <c r="J96" s="25"/>
      <c r="K96" s="25"/>
      <c r="L96" s="25"/>
      <c r="M96" s="25"/>
      <c r="N96" s="25"/>
      <c r="O96" s="25"/>
      <c r="P96" s="25"/>
      <c r="Q96" s="25">
        <f>9*0.6</f>
        <v>5.3999999999999995</v>
      </c>
      <c r="R96" s="23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ht="8.25" customHeight="1">
      <c r="A97" s="18">
        <f>SUM(0+D97)</f>
        <v>4.18</v>
      </c>
      <c r="B97" s="19" t="s">
        <v>197</v>
      </c>
      <c r="C97" s="20" t="s">
        <v>35</v>
      </c>
      <c r="D97" s="25">
        <f>SUM(E97:AE97)</f>
        <v>4.18</v>
      </c>
      <c r="E97" s="23"/>
      <c r="F97" s="23"/>
      <c r="G97" s="23"/>
      <c r="H97" s="23"/>
      <c r="I97" s="23"/>
      <c r="J97" s="23"/>
      <c r="K97" s="25"/>
      <c r="L97" s="23"/>
      <c r="M97" s="23"/>
      <c r="N97" s="23">
        <f>11*0.38</f>
        <v>4.18</v>
      </c>
      <c r="O97" s="23"/>
      <c r="P97" s="23"/>
      <c r="Q97" s="23"/>
      <c r="R97" s="23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ht="8.25" customHeight="1">
      <c r="A98" s="18">
        <f>SUM(0+D98)</f>
        <v>2.16</v>
      </c>
      <c r="B98" s="19" t="s">
        <v>225</v>
      </c>
      <c r="C98" s="20" t="s">
        <v>17</v>
      </c>
      <c r="D98" s="25">
        <f>SUM(E98:AE98)</f>
        <v>2.16</v>
      </c>
      <c r="E98" s="19"/>
      <c r="F98" s="23"/>
      <c r="G98" s="19"/>
      <c r="H98" s="23">
        <f>8*0.27</f>
        <v>2.16</v>
      </c>
      <c r="I98" s="23"/>
      <c r="J98" s="25"/>
      <c r="K98" s="25"/>
      <c r="L98" s="25"/>
      <c r="M98" s="25"/>
      <c r="N98" s="23"/>
      <c r="O98" s="23"/>
      <c r="P98" s="23"/>
      <c r="Q98" s="23"/>
      <c r="R98" s="23"/>
      <c r="S98" s="25"/>
      <c r="T98" s="25"/>
      <c r="U98" s="25"/>
      <c r="V98" s="25"/>
      <c r="W98" s="25"/>
      <c r="X98" s="19"/>
      <c r="Y98" s="19"/>
      <c r="Z98" s="19"/>
      <c r="AA98" s="19"/>
      <c r="AB98" s="19"/>
      <c r="AC98" s="19"/>
      <c r="AD98" s="19"/>
      <c r="AE98" s="19"/>
    </row>
    <row r="99" spans="1:31" ht="8.25" customHeight="1">
      <c r="A99" s="18">
        <f>SUM(0+D99)</f>
        <v>0.6</v>
      </c>
      <c r="B99" s="19" t="s">
        <v>304</v>
      </c>
      <c r="C99" s="20" t="s">
        <v>7</v>
      </c>
      <c r="D99" s="25">
        <f>SUM(E99:AE99)</f>
        <v>0.6</v>
      </c>
      <c r="E99" s="25"/>
      <c r="F99" s="25"/>
      <c r="G99" s="25"/>
      <c r="H99" s="25"/>
      <c r="I99" s="25"/>
      <c r="J99" s="23"/>
      <c r="K99" s="23"/>
      <c r="L99" s="23"/>
      <c r="M99" s="23"/>
      <c r="N99" s="23"/>
      <c r="O99" s="23"/>
      <c r="P99" s="23"/>
      <c r="Q99" s="23">
        <f>1*0.6</f>
        <v>0.6</v>
      </c>
      <c r="R99" s="23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ht="8.25" customHeight="1">
      <c r="A100" s="18">
        <f>SUM(0+D100)</f>
        <v>0</v>
      </c>
      <c r="B100" s="19"/>
      <c r="C100" s="20"/>
      <c r="D100" s="25">
        <f>SUM(E100:AE100)</f>
        <v>0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3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ht="8.25" customHeight="1">
      <c r="A101" s="18">
        <f>SUM(0+D101)</f>
        <v>0</v>
      </c>
      <c r="B101" s="19"/>
      <c r="C101" s="20"/>
      <c r="D101" s="25">
        <f>SUM(E101:AE101)</f>
        <v>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3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3:18" ht="8.25" customHeight="1">
      <c r="M102" s="29"/>
      <c r="N102" s="29"/>
      <c r="O102" s="29"/>
      <c r="P102" s="29"/>
      <c r="Q102" s="29"/>
      <c r="R102" s="29"/>
    </row>
    <row r="103" spans="13:18" ht="8.25" customHeight="1">
      <c r="M103" s="29"/>
      <c r="N103" s="29"/>
      <c r="O103" s="29"/>
      <c r="P103" s="29"/>
      <c r="Q103" s="29"/>
      <c r="R103" s="29"/>
    </row>
    <row r="104" spans="13:18" ht="8.25" customHeight="1">
      <c r="M104" s="29"/>
      <c r="N104" s="29"/>
      <c r="O104" s="29"/>
      <c r="P104" s="29"/>
      <c r="Q104" s="29"/>
      <c r="R104" s="29"/>
    </row>
    <row r="105" spans="13:18" ht="8.25" customHeight="1">
      <c r="M105" s="29"/>
      <c r="N105" s="29"/>
      <c r="O105" s="29"/>
      <c r="P105" s="29"/>
      <c r="Q105" s="29"/>
      <c r="R105" s="29"/>
    </row>
    <row r="106" spans="13:18" ht="8.25" customHeight="1">
      <c r="M106" s="29"/>
      <c r="N106" s="29"/>
      <c r="O106" s="29"/>
      <c r="P106" s="29"/>
      <c r="Q106" s="29"/>
      <c r="R106" s="29"/>
    </row>
    <row r="107" spans="13:18" ht="8.25" customHeight="1">
      <c r="M107" s="29"/>
      <c r="N107" s="29"/>
      <c r="O107" s="29"/>
      <c r="P107" s="29"/>
      <c r="Q107" s="29"/>
      <c r="R107" s="29"/>
    </row>
    <row r="108" spans="13:18" ht="8.25" customHeight="1">
      <c r="M108" s="29"/>
      <c r="N108" s="29"/>
      <c r="O108" s="29"/>
      <c r="P108" s="29"/>
      <c r="Q108" s="29"/>
      <c r="R108" s="29"/>
    </row>
    <row r="109" spans="13:18" ht="8.25" customHeight="1">
      <c r="M109" s="29"/>
      <c r="N109" s="29"/>
      <c r="O109" s="29"/>
      <c r="P109" s="29"/>
      <c r="Q109" s="29"/>
      <c r="R109" s="29"/>
    </row>
    <row r="110" spans="13:18" ht="8.25" customHeight="1">
      <c r="M110" s="29"/>
      <c r="N110" s="29"/>
      <c r="O110" s="29"/>
      <c r="P110" s="29"/>
      <c r="Q110" s="29"/>
      <c r="R110" s="29"/>
    </row>
    <row r="111" spans="13:18" ht="8.25" customHeight="1">
      <c r="M111" s="29"/>
      <c r="N111" s="29"/>
      <c r="O111" s="29"/>
      <c r="P111" s="29"/>
      <c r="Q111" s="29"/>
      <c r="R111" s="29"/>
    </row>
    <row r="112" spans="13:18" ht="8.25" customHeight="1">
      <c r="M112" s="29"/>
      <c r="N112" s="29"/>
      <c r="O112" s="29"/>
      <c r="P112" s="29"/>
      <c r="Q112" s="29"/>
      <c r="R112" s="29"/>
    </row>
    <row r="113" spans="13:18" ht="8.25" customHeight="1">
      <c r="M113" s="29"/>
      <c r="N113" s="29"/>
      <c r="O113" s="29"/>
      <c r="P113" s="29"/>
      <c r="Q113" s="29"/>
      <c r="R113" s="29"/>
    </row>
    <row r="114" spans="13:18" ht="8.25" customHeight="1">
      <c r="M114" s="29"/>
      <c r="N114" s="29"/>
      <c r="O114" s="29"/>
      <c r="P114" s="29"/>
      <c r="Q114" s="29"/>
      <c r="R114" s="29"/>
    </row>
    <row r="115" spans="13:18" ht="8.25" customHeight="1">
      <c r="M115" s="29"/>
      <c r="N115" s="29"/>
      <c r="O115" s="29"/>
      <c r="P115" s="29"/>
      <c r="Q115" s="29"/>
      <c r="R115" s="29"/>
    </row>
    <row r="116" spans="13:18" ht="8.25" customHeight="1">
      <c r="M116" s="29"/>
      <c r="N116" s="29"/>
      <c r="O116" s="29"/>
      <c r="P116" s="29"/>
      <c r="Q116" s="29"/>
      <c r="R116" s="29"/>
    </row>
    <row r="117" spans="13:18" ht="8.25" customHeight="1">
      <c r="M117" s="29"/>
      <c r="N117" s="29"/>
      <c r="O117" s="29"/>
      <c r="P117" s="29"/>
      <c r="Q117" s="29"/>
      <c r="R117" s="29"/>
    </row>
    <row r="118" spans="13:18" ht="8.25" customHeight="1">
      <c r="M118" s="29"/>
      <c r="N118" s="29"/>
      <c r="O118" s="29"/>
      <c r="P118" s="29"/>
      <c r="Q118" s="29"/>
      <c r="R118" s="29"/>
    </row>
    <row r="119" spans="13:18" ht="8.25" customHeight="1">
      <c r="M119" s="29"/>
      <c r="N119" s="29"/>
      <c r="O119" s="29"/>
      <c r="P119" s="29"/>
      <c r="Q119" s="29"/>
      <c r="R119" s="29"/>
    </row>
    <row r="120" spans="13:18" ht="8.25" customHeight="1">
      <c r="M120" s="29"/>
      <c r="N120" s="29"/>
      <c r="O120" s="29"/>
      <c r="P120" s="29"/>
      <c r="Q120" s="29"/>
      <c r="R120" s="29"/>
    </row>
    <row r="121" spans="13:18" ht="8.25" customHeight="1">
      <c r="M121" s="29"/>
      <c r="N121" s="29"/>
      <c r="O121" s="29"/>
      <c r="P121" s="29"/>
      <c r="Q121" s="29"/>
      <c r="R121" s="29"/>
    </row>
    <row r="122" spans="13:18" ht="8.25" customHeight="1">
      <c r="M122" s="29"/>
      <c r="N122" s="29"/>
      <c r="O122" s="29"/>
      <c r="P122" s="29"/>
      <c r="Q122" s="29"/>
      <c r="R122" s="29"/>
    </row>
    <row r="123" spans="13:18" ht="8.25" customHeight="1">
      <c r="M123" s="29"/>
      <c r="N123" s="29"/>
      <c r="O123" s="29"/>
      <c r="P123" s="29"/>
      <c r="Q123" s="29"/>
      <c r="R123" s="29"/>
    </row>
    <row r="124" spans="13:18" ht="8.25" customHeight="1">
      <c r="M124" s="29"/>
      <c r="N124" s="29"/>
      <c r="O124" s="29"/>
      <c r="P124" s="29"/>
      <c r="Q124" s="29"/>
      <c r="R124" s="29"/>
    </row>
    <row r="125" spans="13:18" ht="8.25" customHeight="1">
      <c r="M125" s="29"/>
      <c r="N125" s="29"/>
      <c r="O125" s="29"/>
      <c r="P125" s="29"/>
      <c r="Q125" s="29"/>
      <c r="R125" s="29"/>
    </row>
    <row r="126" spans="13:18" ht="8.25" customHeight="1">
      <c r="M126" s="29"/>
      <c r="N126" s="29"/>
      <c r="O126" s="29"/>
      <c r="P126" s="29"/>
      <c r="Q126" s="29"/>
      <c r="R126" s="29"/>
    </row>
    <row r="127" spans="13:18" ht="8.25" customHeight="1">
      <c r="M127" s="29"/>
      <c r="N127" s="29"/>
      <c r="O127" s="29"/>
      <c r="P127" s="29"/>
      <c r="Q127" s="29"/>
      <c r="R127" s="29"/>
    </row>
    <row r="128" spans="13:18" ht="8.25" customHeight="1">
      <c r="M128" s="29"/>
      <c r="N128" s="29"/>
      <c r="O128" s="29"/>
      <c r="P128" s="29"/>
      <c r="Q128" s="29"/>
      <c r="R128" s="29"/>
    </row>
    <row r="129" spans="13:18" ht="8.25" customHeight="1">
      <c r="M129" s="29"/>
      <c r="N129" s="29"/>
      <c r="O129" s="29"/>
      <c r="P129" s="29"/>
      <c r="Q129" s="29"/>
      <c r="R129" s="29"/>
    </row>
    <row r="130" spans="13:18" ht="8.25" customHeight="1">
      <c r="M130" s="29"/>
      <c r="N130" s="29"/>
      <c r="O130" s="29"/>
      <c r="P130" s="29"/>
      <c r="Q130" s="29"/>
      <c r="R130" s="29"/>
    </row>
    <row r="131" spans="13:18" ht="8.25" customHeight="1">
      <c r="M131" s="29"/>
      <c r="N131" s="29"/>
      <c r="O131" s="29"/>
      <c r="P131" s="29"/>
      <c r="Q131" s="29"/>
      <c r="R131" s="29"/>
    </row>
    <row r="132" spans="13:18" ht="8.25" customHeight="1">
      <c r="M132" s="29"/>
      <c r="N132" s="29"/>
      <c r="O132" s="29"/>
      <c r="P132" s="29"/>
      <c r="Q132" s="29"/>
      <c r="R132" s="29"/>
    </row>
    <row r="133" spans="13:18" ht="8.25" customHeight="1">
      <c r="M133" s="29"/>
      <c r="N133" s="29"/>
      <c r="O133" s="29"/>
      <c r="P133" s="29"/>
      <c r="Q133" s="29"/>
      <c r="R133" s="29"/>
    </row>
    <row r="134" spans="13:18" ht="8.25" customHeight="1">
      <c r="M134" s="29"/>
      <c r="N134" s="29"/>
      <c r="O134" s="29"/>
      <c r="P134" s="29"/>
      <c r="Q134" s="29"/>
      <c r="R134" s="29"/>
    </row>
    <row r="135" spans="13:18" ht="8.25" customHeight="1">
      <c r="M135" s="29"/>
      <c r="N135" s="29"/>
      <c r="O135" s="29"/>
      <c r="P135" s="29"/>
      <c r="Q135" s="29"/>
      <c r="R135" s="29"/>
    </row>
    <row r="136" spans="13:18" ht="8.25" customHeight="1">
      <c r="M136" s="29"/>
      <c r="N136" s="29"/>
      <c r="O136" s="29"/>
      <c r="P136" s="29"/>
      <c r="Q136" s="29"/>
      <c r="R136" s="29"/>
    </row>
    <row r="137" spans="13:18" ht="8.25" customHeight="1">
      <c r="M137" s="29"/>
      <c r="N137" s="29"/>
      <c r="O137" s="29"/>
      <c r="P137" s="29"/>
      <c r="Q137" s="29"/>
      <c r="R137" s="29"/>
    </row>
    <row r="138" spans="13:18" ht="8.25" customHeight="1">
      <c r="M138" s="29"/>
      <c r="N138" s="29"/>
      <c r="O138" s="29"/>
      <c r="P138" s="29"/>
      <c r="Q138" s="29"/>
      <c r="R138" s="29"/>
    </row>
    <row r="139" spans="13:18" ht="8.25" customHeight="1">
      <c r="M139" s="29"/>
      <c r="N139" s="29"/>
      <c r="O139" s="29"/>
      <c r="P139" s="29"/>
      <c r="Q139" s="29"/>
      <c r="R139" s="29"/>
    </row>
    <row r="140" spans="13:18" ht="8.25" customHeight="1">
      <c r="M140" s="29"/>
      <c r="N140" s="29"/>
      <c r="O140" s="29"/>
      <c r="P140" s="29"/>
      <c r="Q140" s="29"/>
      <c r="R140" s="29"/>
    </row>
    <row r="141" spans="13:18" ht="8.25" customHeight="1">
      <c r="M141" s="29"/>
      <c r="N141" s="29"/>
      <c r="O141" s="29"/>
      <c r="P141" s="29"/>
      <c r="Q141" s="29"/>
      <c r="R141" s="29"/>
    </row>
    <row r="142" spans="13:18" ht="8.25" customHeight="1">
      <c r="M142" s="29"/>
      <c r="N142" s="29"/>
      <c r="O142" s="29"/>
      <c r="P142" s="29"/>
      <c r="Q142" s="29"/>
      <c r="R142" s="29"/>
    </row>
    <row r="143" spans="13:18" ht="8.25" customHeight="1">
      <c r="M143" s="29"/>
      <c r="N143" s="29"/>
      <c r="O143" s="29"/>
      <c r="P143" s="29"/>
      <c r="Q143" s="29"/>
      <c r="R143" s="29"/>
    </row>
    <row r="144" spans="13:18" ht="8.25" customHeight="1">
      <c r="M144" s="29"/>
      <c r="N144" s="29"/>
      <c r="O144" s="29"/>
      <c r="P144" s="29"/>
      <c r="Q144" s="29"/>
      <c r="R144" s="29"/>
    </row>
    <row r="145" spans="13:18" ht="8.25" customHeight="1">
      <c r="M145" s="29"/>
      <c r="N145" s="29"/>
      <c r="O145" s="29"/>
      <c r="P145" s="29"/>
      <c r="Q145" s="29"/>
      <c r="R145" s="29"/>
    </row>
    <row r="146" spans="13:18" ht="8.25" customHeight="1">
      <c r="M146" s="29"/>
      <c r="N146" s="29"/>
      <c r="O146" s="29"/>
      <c r="P146" s="29"/>
      <c r="Q146" s="29"/>
      <c r="R146" s="29"/>
    </row>
    <row r="147" spans="13:18" ht="8.25" customHeight="1">
      <c r="M147" s="29"/>
      <c r="N147" s="29"/>
      <c r="O147" s="29"/>
      <c r="P147" s="29"/>
      <c r="Q147" s="29"/>
      <c r="R147" s="29"/>
    </row>
    <row r="148" spans="13:18" ht="8.25" customHeight="1">
      <c r="M148" s="29"/>
      <c r="N148" s="29"/>
      <c r="O148" s="29"/>
      <c r="P148" s="29"/>
      <c r="Q148" s="29"/>
      <c r="R148" s="29"/>
    </row>
    <row r="149" spans="13:18" ht="8.25" customHeight="1">
      <c r="M149" s="29"/>
      <c r="N149" s="29"/>
      <c r="O149" s="29"/>
      <c r="P149" s="29"/>
      <c r="Q149" s="29"/>
      <c r="R149" s="29"/>
    </row>
    <row r="150" spans="13:18" ht="8.25" customHeight="1">
      <c r="M150" s="29"/>
      <c r="N150" s="29"/>
      <c r="O150" s="29"/>
      <c r="P150" s="29"/>
      <c r="Q150" s="29"/>
      <c r="R150" s="29"/>
    </row>
    <row r="151" spans="13:18" ht="8.25" customHeight="1">
      <c r="M151" s="29"/>
      <c r="N151" s="29"/>
      <c r="O151" s="29"/>
      <c r="P151" s="29"/>
      <c r="Q151" s="29"/>
      <c r="R151" s="29"/>
    </row>
    <row r="152" spans="13:18" ht="8.25" customHeight="1">
      <c r="M152" s="29"/>
      <c r="N152" s="29"/>
      <c r="O152" s="29"/>
      <c r="P152" s="29"/>
      <c r="Q152" s="29"/>
      <c r="R152" s="29"/>
    </row>
    <row r="153" spans="13:18" ht="8.25" customHeight="1">
      <c r="M153" s="29"/>
      <c r="N153" s="29"/>
      <c r="O153" s="29"/>
      <c r="P153" s="29"/>
      <c r="Q153" s="29"/>
      <c r="R153" s="29"/>
    </row>
    <row r="154" spans="13:18" ht="8.25" customHeight="1">
      <c r="M154" s="29"/>
      <c r="N154" s="29"/>
      <c r="O154" s="29"/>
      <c r="P154" s="29"/>
      <c r="Q154" s="29"/>
      <c r="R154" s="29"/>
    </row>
    <row r="155" spans="13:18" ht="8.25" customHeight="1">
      <c r="M155" s="29"/>
      <c r="N155" s="29"/>
      <c r="O155" s="29"/>
      <c r="P155" s="29"/>
      <c r="Q155" s="29"/>
      <c r="R155" s="29"/>
    </row>
    <row r="156" spans="13:18" ht="8.25" customHeight="1">
      <c r="M156" s="29"/>
      <c r="N156" s="29"/>
      <c r="O156" s="29"/>
      <c r="P156" s="29"/>
      <c r="Q156" s="29"/>
      <c r="R156" s="29"/>
    </row>
    <row r="157" spans="13:18" ht="8.25" customHeight="1">
      <c r="M157" s="29"/>
      <c r="N157" s="29"/>
      <c r="O157" s="29"/>
      <c r="P157" s="29"/>
      <c r="Q157" s="29"/>
      <c r="R157" s="29"/>
    </row>
    <row r="158" spans="13:18" ht="8.25" customHeight="1">
      <c r="M158" s="29"/>
      <c r="N158" s="29"/>
      <c r="O158" s="29"/>
      <c r="P158" s="29"/>
      <c r="Q158" s="29"/>
      <c r="R158" s="29"/>
    </row>
    <row r="159" spans="13:18" ht="8.25" customHeight="1">
      <c r="M159" s="29"/>
      <c r="N159" s="29"/>
      <c r="O159" s="29"/>
      <c r="P159" s="29"/>
      <c r="Q159" s="29"/>
      <c r="R159" s="29"/>
    </row>
    <row r="160" spans="13:18" ht="8.25" customHeight="1">
      <c r="M160" s="29"/>
      <c r="N160" s="29"/>
      <c r="O160" s="29"/>
      <c r="P160" s="29"/>
      <c r="Q160" s="29"/>
      <c r="R160" s="29"/>
    </row>
    <row r="161" spans="13:18" ht="8.25" customHeight="1">
      <c r="M161" s="29"/>
      <c r="N161" s="29"/>
      <c r="O161" s="29"/>
      <c r="P161" s="29"/>
      <c r="Q161" s="29"/>
      <c r="R161" s="29"/>
    </row>
    <row r="162" spans="13:18" ht="8.25" customHeight="1">
      <c r="M162" s="29"/>
      <c r="N162" s="29"/>
      <c r="O162" s="29"/>
      <c r="P162" s="29"/>
      <c r="Q162" s="29"/>
      <c r="R162" s="29"/>
    </row>
    <row r="163" spans="13:18" ht="8.25" customHeight="1">
      <c r="M163" s="29"/>
      <c r="N163" s="29"/>
      <c r="O163" s="29"/>
      <c r="P163" s="29"/>
      <c r="Q163" s="29"/>
      <c r="R163" s="29"/>
    </row>
    <row r="164" spans="13:18" ht="8.25" customHeight="1">
      <c r="M164" s="29"/>
      <c r="N164" s="29"/>
      <c r="O164" s="29"/>
      <c r="P164" s="29"/>
      <c r="Q164" s="29"/>
      <c r="R164" s="29"/>
    </row>
    <row r="165" spans="13:18" ht="8.25" customHeight="1">
      <c r="M165" s="29"/>
      <c r="N165" s="29"/>
      <c r="O165" s="29"/>
      <c r="P165" s="29"/>
      <c r="Q165" s="29"/>
      <c r="R165" s="29"/>
    </row>
    <row r="166" spans="13:18" ht="8.25" customHeight="1">
      <c r="M166" s="29"/>
      <c r="N166" s="29"/>
      <c r="O166" s="29"/>
      <c r="P166" s="29"/>
      <c r="Q166" s="29"/>
      <c r="R166" s="29"/>
    </row>
    <row r="167" spans="13:18" ht="8.25" customHeight="1">
      <c r="M167" s="29"/>
      <c r="N167" s="29"/>
      <c r="O167" s="29"/>
      <c r="P167" s="29"/>
      <c r="Q167" s="29"/>
      <c r="R167" s="29"/>
    </row>
    <row r="168" spans="13:18" ht="8.25" customHeight="1">
      <c r="M168" s="29"/>
      <c r="N168" s="29"/>
      <c r="O168" s="29"/>
      <c r="P168" s="29"/>
      <c r="Q168" s="29"/>
      <c r="R168" s="29"/>
    </row>
    <row r="169" spans="13:18" ht="8.25" customHeight="1">
      <c r="M169" s="29"/>
      <c r="N169" s="29"/>
      <c r="O169" s="29"/>
      <c r="P169" s="29"/>
      <c r="Q169" s="29"/>
      <c r="R169" s="29"/>
    </row>
    <row r="170" spans="13:18" ht="8.25" customHeight="1">
      <c r="M170" s="29"/>
      <c r="N170" s="29"/>
      <c r="O170" s="29"/>
      <c r="P170" s="29"/>
      <c r="Q170" s="29"/>
      <c r="R170" s="29"/>
    </row>
    <row r="171" spans="13:18" ht="8.25" customHeight="1">
      <c r="M171" s="29"/>
      <c r="N171" s="29"/>
      <c r="O171" s="29"/>
      <c r="P171" s="29"/>
      <c r="Q171" s="29"/>
      <c r="R171" s="29"/>
    </row>
    <row r="172" spans="13:18" ht="8.25" customHeight="1">
      <c r="M172" s="29"/>
      <c r="N172" s="29"/>
      <c r="O172" s="29"/>
      <c r="P172" s="29"/>
      <c r="Q172" s="29"/>
      <c r="R172" s="29"/>
    </row>
    <row r="173" spans="13:18" ht="8.25" customHeight="1">
      <c r="M173" s="29"/>
      <c r="N173" s="29"/>
      <c r="O173" s="29"/>
      <c r="P173" s="29"/>
      <c r="Q173" s="29"/>
      <c r="R173" s="29"/>
    </row>
    <row r="174" spans="13:18" ht="8.25" customHeight="1">
      <c r="M174" s="29"/>
      <c r="N174" s="29"/>
      <c r="O174" s="29"/>
      <c r="P174" s="29"/>
      <c r="Q174" s="29"/>
      <c r="R174" s="29"/>
    </row>
    <row r="175" spans="13:18" ht="8.25" customHeight="1">
      <c r="M175" s="29"/>
      <c r="N175" s="29"/>
      <c r="O175" s="29"/>
      <c r="P175" s="29"/>
      <c r="Q175" s="29"/>
      <c r="R175" s="29"/>
    </row>
    <row r="176" spans="13:18" ht="8.25" customHeight="1">
      <c r="M176" s="29"/>
      <c r="N176" s="29"/>
      <c r="O176" s="29"/>
      <c r="P176" s="29"/>
      <c r="Q176" s="29"/>
      <c r="R176" s="29"/>
    </row>
    <row r="177" spans="13:18" ht="8.25" customHeight="1">
      <c r="M177" s="29"/>
      <c r="N177" s="29"/>
      <c r="O177" s="29"/>
      <c r="P177" s="29"/>
      <c r="Q177" s="29"/>
      <c r="R177" s="29"/>
    </row>
    <row r="178" spans="13:18" ht="8.25" customHeight="1">
      <c r="M178" s="29"/>
      <c r="N178" s="29"/>
      <c r="O178" s="29"/>
      <c r="P178" s="29"/>
      <c r="Q178" s="29"/>
      <c r="R178" s="29"/>
    </row>
    <row r="179" spans="13:18" ht="8.25" customHeight="1">
      <c r="M179" s="29"/>
      <c r="N179" s="29"/>
      <c r="O179" s="29"/>
      <c r="P179" s="29"/>
      <c r="Q179" s="29"/>
      <c r="R179" s="29"/>
    </row>
    <row r="180" spans="13:18" ht="8.25" customHeight="1">
      <c r="M180" s="29"/>
      <c r="N180" s="29"/>
      <c r="O180" s="29"/>
      <c r="P180" s="29"/>
      <c r="Q180" s="29"/>
      <c r="R180" s="29"/>
    </row>
    <row r="181" spans="13:18" ht="8.25" customHeight="1">
      <c r="M181" s="29"/>
      <c r="N181" s="29"/>
      <c r="O181" s="29"/>
      <c r="P181" s="29"/>
      <c r="Q181" s="29"/>
      <c r="R181" s="29"/>
    </row>
    <row r="182" spans="13:18" ht="8.25" customHeight="1">
      <c r="M182" s="29"/>
      <c r="N182" s="29"/>
      <c r="O182" s="29"/>
      <c r="P182" s="29"/>
      <c r="Q182" s="29"/>
      <c r="R182" s="29"/>
    </row>
    <row r="183" spans="13:18" ht="8.25" customHeight="1">
      <c r="M183" s="29"/>
      <c r="N183" s="29"/>
      <c r="O183" s="29"/>
      <c r="P183" s="29"/>
      <c r="Q183" s="29"/>
      <c r="R183" s="29"/>
    </row>
    <row r="184" spans="13:18" ht="8.25" customHeight="1">
      <c r="M184" s="29"/>
      <c r="N184" s="29"/>
      <c r="O184" s="29"/>
      <c r="P184" s="29"/>
      <c r="Q184" s="29"/>
      <c r="R184" s="29"/>
    </row>
    <row r="185" spans="13:18" ht="8.25" customHeight="1">
      <c r="M185" s="29"/>
      <c r="N185" s="29"/>
      <c r="O185" s="29"/>
      <c r="P185" s="29"/>
      <c r="Q185" s="29"/>
      <c r="R185" s="29"/>
    </row>
    <row r="186" spans="13:18" ht="8.25" customHeight="1">
      <c r="M186" s="29"/>
      <c r="N186" s="29"/>
      <c r="O186" s="29"/>
      <c r="P186" s="29"/>
      <c r="Q186" s="29"/>
      <c r="R186" s="29"/>
    </row>
    <row r="187" spans="13:18" ht="8.25" customHeight="1">
      <c r="M187" s="29"/>
      <c r="N187" s="29"/>
      <c r="O187" s="29"/>
      <c r="P187" s="29"/>
      <c r="Q187" s="29"/>
      <c r="R187" s="29"/>
    </row>
    <row r="188" spans="13:18" ht="8.25" customHeight="1">
      <c r="M188" s="29"/>
      <c r="N188" s="29"/>
      <c r="O188" s="29"/>
      <c r="P188" s="29"/>
      <c r="Q188" s="29"/>
      <c r="R188" s="29"/>
    </row>
    <row r="189" spans="13:18" ht="8.25" customHeight="1">
      <c r="M189" s="29"/>
      <c r="N189" s="29"/>
      <c r="O189" s="29"/>
      <c r="P189" s="29"/>
      <c r="Q189" s="29"/>
      <c r="R189" s="29"/>
    </row>
    <row r="190" spans="13:18" ht="8.25" customHeight="1">
      <c r="M190" s="29"/>
      <c r="N190" s="29"/>
      <c r="O190" s="29"/>
      <c r="P190" s="29"/>
      <c r="Q190" s="29"/>
      <c r="R190" s="29"/>
    </row>
    <row r="191" spans="13:18" ht="8.25" customHeight="1">
      <c r="M191" s="29"/>
      <c r="N191" s="29"/>
      <c r="O191" s="29"/>
      <c r="P191" s="29"/>
      <c r="Q191" s="29"/>
      <c r="R191" s="29"/>
    </row>
    <row r="192" spans="13:18" ht="8.25" customHeight="1">
      <c r="M192" s="29"/>
      <c r="N192" s="29"/>
      <c r="O192" s="29"/>
      <c r="P192" s="29"/>
      <c r="Q192" s="29"/>
      <c r="R192" s="29"/>
    </row>
    <row r="193" spans="13:18" ht="8.25" customHeight="1">
      <c r="M193" s="29"/>
      <c r="N193" s="29"/>
      <c r="O193" s="29"/>
      <c r="P193" s="29"/>
      <c r="Q193" s="29"/>
      <c r="R193" s="29"/>
    </row>
    <row r="194" spans="13:18" ht="8.25" customHeight="1">
      <c r="M194" s="29"/>
      <c r="N194" s="29"/>
      <c r="O194" s="29"/>
      <c r="P194" s="29"/>
      <c r="Q194" s="29"/>
      <c r="R194" s="29"/>
    </row>
    <row r="195" spans="13:18" ht="8.25" customHeight="1">
      <c r="M195" s="29"/>
      <c r="N195" s="29"/>
      <c r="O195" s="29"/>
      <c r="P195" s="29"/>
      <c r="Q195" s="29"/>
      <c r="R195" s="29"/>
    </row>
    <row r="196" spans="13:18" ht="8.25" customHeight="1">
      <c r="M196" s="29"/>
      <c r="N196" s="29"/>
      <c r="O196" s="29"/>
      <c r="P196" s="29"/>
      <c r="Q196" s="29"/>
      <c r="R196" s="29"/>
    </row>
    <row r="197" spans="13:18" ht="8.25" customHeight="1">
      <c r="M197" s="29"/>
      <c r="N197" s="29"/>
      <c r="O197" s="29"/>
      <c r="P197" s="29"/>
      <c r="Q197" s="29"/>
      <c r="R197" s="29"/>
    </row>
    <row r="198" spans="13:18" ht="8.25" customHeight="1">
      <c r="M198" s="29"/>
      <c r="N198" s="29"/>
      <c r="O198" s="29"/>
      <c r="P198" s="29"/>
      <c r="Q198" s="29"/>
      <c r="R198" s="29"/>
    </row>
    <row r="199" spans="13:18" ht="8.25" customHeight="1">
      <c r="M199" s="29"/>
      <c r="N199" s="29"/>
      <c r="O199" s="29"/>
      <c r="P199" s="29"/>
      <c r="Q199" s="29"/>
      <c r="R199" s="29"/>
    </row>
    <row r="200" spans="13:18" ht="8.25" customHeight="1">
      <c r="M200" s="29"/>
      <c r="N200" s="29"/>
      <c r="O200" s="29"/>
      <c r="P200" s="29"/>
      <c r="Q200" s="29"/>
      <c r="R200" s="29"/>
    </row>
    <row r="201" spans="13:18" ht="8.25" customHeight="1">
      <c r="M201" s="29"/>
      <c r="N201" s="29"/>
      <c r="O201" s="29"/>
      <c r="P201" s="29"/>
      <c r="Q201" s="29"/>
      <c r="R201" s="29"/>
    </row>
    <row r="202" spans="13:18" ht="8.25" customHeight="1">
      <c r="M202" s="29"/>
      <c r="N202" s="29"/>
      <c r="O202" s="29"/>
      <c r="P202" s="29"/>
      <c r="Q202" s="29"/>
      <c r="R202" s="29"/>
    </row>
    <row r="203" spans="13:18" ht="8.25" customHeight="1">
      <c r="M203" s="29"/>
      <c r="N203" s="29"/>
      <c r="O203" s="29"/>
      <c r="P203" s="29"/>
      <c r="Q203" s="29"/>
      <c r="R203" s="29"/>
    </row>
    <row r="204" spans="13:18" ht="8.25" customHeight="1">
      <c r="M204" s="29"/>
      <c r="N204" s="29"/>
      <c r="O204" s="29"/>
      <c r="P204" s="29"/>
      <c r="Q204" s="29"/>
      <c r="R204" s="29"/>
    </row>
    <row r="205" spans="13:18" ht="8.25" customHeight="1">
      <c r="M205" s="29"/>
      <c r="N205" s="29"/>
      <c r="O205" s="29"/>
      <c r="P205" s="29"/>
      <c r="Q205" s="29"/>
      <c r="R205" s="29"/>
    </row>
    <row r="206" spans="13:18" ht="8.25" customHeight="1">
      <c r="M206" s="29"/>
      <c r="N206" s="29"/>
      <c r="O206" s="29"/>
      <c r="P206" s="29"/>
      <c r="Q206" s="29"/>
      <c r="R206" s="29"/>
    </row>
    <row r="207" spans="13:18" ht="8.25" customHeight="1">
      <c r="M207" s="29"/>
      <c r="N207" s="29"/>
      <c r="O207" s="29"/>
      <c r="P207" s="29"/>
      <c r="Q207" s="29"/>
      <c r="R207" s="29"/>
    </row>
    <row r="208" spans="13:18" ht="8.25" customHeight="1">
      <c r="M208" s="29"/>
      <c r="N208" s="29"/>
      <c r="O208" s="29"/>
      <c r="P208" s="29"/>
      <c r="Q208" s="29"/>
      <c r="R208" s="29"/>
    </row>
    <row r="209" spans="13:18" ht="8.25" customHeight="1">
      <c r="M209" s="29"/>
      <c r="N209" s="29"/>
      <c r="O209" s="29"/>
      <c r="P209" s="29"/>
      <c r="Q209" s="29"/>
      <c r="R209" s="29"/>
    </row>
    <row r="210" spans="13:18" ht="8.25" customHeight="1">
      <c r="M210" s="29"/>
      <c r="N210" s="29"/>
      <c r="O210" s="29"/>
      <c r="P210" s="29"/>
      <c r="Q210" s="29"/>
      <c r="R210" s="29"/>
    </row>
    <row r="211" spans="13:18" ht="8.25" customHeight="1">
      <c r="M211" s="29"/>
      <c r="N211" s="29"/>
      <c r="O211" s="29"/>
      <c r="P211" s="29"/>
      <c r="Q211" s="29"/>
      <c r="R211" s="29"/>
    </row>
    <row r="212" spans="13:18" ht="8.25" customHeight="1">
      <c r="M212" s="29"/>
      <c r="N212" s="29"/>
      <c r="O212" s="29"/>
      <c r="P212" s="29"/>
      <c r="Q212" s="29"/>
      <c r="R212" s="29"/>
    </row>
    <row r="213" spans="13:18" ht="8.25" customHeight="1">
      <c r="M213" s="29"/>
      <c r="N213" s="29"/>
      <c r="O213" s="29"/>
      <c r="P213" s="29"/>
      <c r="Q213" s="29"/>
      <c r="R213" s="29"/>
    </row>
    <row r="214" spans="13:18" ht="8.25" customHeight="1">
      <c r="M214" s="29"/>
      <c r="N214" s="29"/>
      <c r="O214" s="29"/>
      <c r="P214" s="29"/>
      <c r="Q214" s="29"/>
      <c r="R214" s="29"/>
    </row>
    <row r="215" spans="13:18" ht="8.25" customHeight="1">
      <c r="M215" s="29"/>
      <c r="N215" s="29"/>
      <c r="O215" s="29"/>
      <c r="P215" s="29"/>
      <c r="Q215" s="29"/>
      <c r="R215" s="29"/>
    </row>
    <row r="216" spans="13:18" ht="8.25" customHeight="1">
      <c r="M216" s="29"/>
      <c r="N216" s="29"/>
      <c r="O216" s="29"/>
      <c r="P216" s="29"/>
      <c r="Q216" s="29"/>
      <c r="R216" s="29"/>
    </row>
    <row r="217" spans="13:18" ht="8.25" customHeight="1">
      <c r="M217" s="29"/>
      <c r="N217" s="29"/>
      <c r="O217" s="29"/>
      <c r="P217" s="29"/>
      <c r="Q217" s="29"/>
      <c r="R217" s="29"/>
    </row>
    <row r="218" spans="13:18" ht="8.25" customHeight="1">
      <c r="M218" s="29"/>
      <c r="N218" s="29"/>
      <c r="O218" s="29"/>
      <c r="P218" s="29"/>
      <c r="Q218" s="29"/>
      <c r="R218" s="29"/>
    </row>
    <row r="219" spans="13:18" ht="8.25" customHeight="1">
      <c r="M219" s="29"/>
      <c r="N219" s="29"/>
      <c r="O219" s="29"/>
      <c r="P219" s="29"/>
      <c r="Q219" s="29"/>
      <c r="R219" s="29"/>
    </row>
    <row r="220" spans="13:18" ht="8.25" customHeight="1">
      <c r="M220" s="29"/>
      <c r="N220" s="29"/>
      <c r="O220" s="29"/>
      <c r="P220" s="29"/>
      <c r="Q220" s="29"/>
      <c r="R220" s="29"/>
    </row>
    <row r="221" spans="13:18" ht="8.25" customHeight="1">
      <c r="M221" s="29"/>
      <c r="N221" s="29"/>
      <c r="O221" s="29"/>
      <c r="P221" s="29"/>
      <c r="Q221" s="29"/>
      <c r="R221" s="29"/>
    </row>
    <row r="222" spans="13:18" ht="8.25" customHeight="1">
      <c r="M222" s="29"/>
      <c r="N222" s="29"/>
      <c r="O222" s="29"/>
      <c r="P222" s="29"/>
      <c r="Q222" s="29"/>
      <c r="R222" s="29"/>
    </row>
    <row r="223" spans="13:18" ht="8.25" customHeight="1">
      <c r="M223" s="29"/>
      <c r="N223" s="29"/>
      <c r="O223" s="29"/>
      <c r="P223" s="29"/>
      <c r="Q223" s="29"/>
      <c r="R223" s="29"/>
    </row>
    <row r="224" spans="13:18" ht="8.25" customHeight="1">
      <c r="M224" s="29"/>
      <c r="N224" s="29"/>
      <c r="O224" s="29"/>
      <c r="P224" s="29"/>
      <c r="Q224" s="29"/>
      <c r="R224" s="29"/>
    </row>
    <row r="225" spans="13:18" ht="8.25" customHeight="1">
      <c r="M225" s="29"/>
      <c r="N225" s="29"/>
      <c r="O225" s="29"/>
      <c r="P225" s="29"/>
      <c r="Q225" s="29"/>
      <c r="R225" s="29"/>
    </row>
    <row r="226" spans="13:18" ht="8.25" customHeight="1">
      <c r="M226" s="29"/>
      <c r="N226" s="29"/>
      <c r="O226" s="29"/>
      <c r="P226" s="29"/>
      <c r="Q226" s="29"/>
      <c r="R226" s="29"/>
    </row>
    <row r="227" spans="13:18" ht="8.25" customHeight="1">
      <c r="M227" s="29"/>
      <c r="N227" s="29"/>
      <c r="O227" s="29"/>
      <c r="P227" s="29"/>
      <c r="Q227" s="29"/>
      <c r="R227" s="29"/>
    </row>
    <row r="228" spans="13:18" ht="8.25" customHeight="1">
      <c r="M228" s="29"/>
      <c r="N228" s="29"/>
      <c r="O228" s="29"/>
      <c r="P228" s="29"/>
      <c r="Q228" s="29"/>
      <c r="R228" s="29"/>
    </row>
    <row r="229" spans="13:18" ht="8.25" customHeight="1">
      <c r="M229" s="29"/>
      <c r="N229" s="29"/>
      <c r="O229" s="29"/>
      <c r="P229" s="29"/>
      <c r="Q229" s="29"/>
      <c r="R229" s="29"/>
    </row>
    <row r="230" spans="13:18" ht="8.25" customHeight="1">
      <c r="M230" s="29"/>
      <c r="N230" s="29"/>
      <c r="O230" s="29"/>
      <c r="P230" s="29"/>
      <c r="Q230" s="29"/>
      <c r="R230" s="29"/>
    </row>
    <row r="231" spans="13:18" ht="8.25" customHeight="1">
      <c r="M231" s="29"/>
      <c r="N231" s="29"/>
      <c r="O231" s="29"/>
      <c r="P231" s="29"/>
      <c r="Q231" s="29"/>
      <c r="R231" s="29"/>
    </row>
    <row r="232" spans="13:18" ht="8.25" customHeight="1">
      <c r="M232" s="29"/>
      <c r="N232" s="29"/>
      <c r="O232" s="29"/>
      <c r="P232" s="29"/>
      <c r="Q232" s="29"/>
      <c r="R232" s="29"/>
    </row>
    <row r="233" spans="13:18" ht="8.25" customHeight="1">
      <c r="M233" s="29"/>
      <c r="N233" s="29"/>
      <c r="O233" s="29"/>
      <c r="P233" s="29"/>
      <c r="Q233" s="29"/>
      <c r="R233" s="29"/>
    </row>
    <row r="234" spans="13:18" ht="8.25" customHeight="1">
      <c r="M234" s="29"/>
      <c r="N234" s="29"/>
      <c r="O234" s="29"/>
      <c r="P234" s="29"/>
      <c r="Q234" s="29"/>
      <c r="R234" s="29"/>
    </row>
    <row r="235" spans="13:18" ht="8.25" customHeight="1">
      <c r="M235" s="29"/>
      <c r="N235" s="29"/>
      <c r="O235" s="29"/>
      <c r="P235" s="29"/>
      <c r="Q235" s="29"/>
      <c r="R235" s="29"/>
    </row>
    <row r="236" spans="13:18" ht="8.25" customHeight="1">
      <c r="M236" s="29"/>
      <c r="N236" s="29"/>
      <c r="O236" s="29"/>
      <c r="P236" s="29"/>
      <c r="Q236" s="29"/>
      <c r="R236" s="29"/>
    </row>
    <row r="237" spans="13:18" ht="8.25" customHeight="1">
      <c r="M237" s="29"/>
      <c r="N237" s="29"/>
      <c r="O237" s="29"/>
      <c r="P237" s="29"/>
      <c r="Q237" s="29"/>
      <c r="R237" s="29"/>
    </row>
    <row r="238" spans="13:18" ht="8.25" customHeight="1">
      <c r="M238" s="29"/>
      <c r="N238" s="29"/>
      <c r="O238" s="29"/>
      <c r="P238" s="29"/>
      <c r="Q238" s="29"/>
      <c r="R238" s="29"/>
    </row>
    <row r="239" spans="13:18" ht="8.25" customHeight="1">
      <c r="M239" s="29"/>
      <c r="N239" s="29"/>
      <c r="O239" s="29"/>
      <c r="P239" s="29"/>
      <c r="Q239" s="29"/>
      <c r="R239" s="29"/>
    </row>
    <row r="240" spans="13:18" ht="8.25" customHeight="1">
      <c r="M240" s="29"/>
      <c r="N240" s="29"/>
      <c r="O240" s="29"/>
      <c r="P240" s="29"/>
      <c r="Q240" s="29"/>
      <c r="R240" s="29"/>
    </row>
    <row r="241" spans="13:18" ht="8.25" customHeight="1">
      <c r="M241" s="29"/>
      <c r="N241" s="29"/>
      <c r="O241" s="29"/>
      <c r="P241" s="29"/>
      <c r="Q241" s="29"/>
      <c r="R241" s="29"/>
    </row>
    <row r="242" spans="13:18" ht="8.25" customHeight="1">
      <c r="M242" s="29"/>
      <c r="N242" s="29"/>
      <c r="O242" s="29"/>
      <c r="P242" s="29"/>
      <c r="Q242" s="29"/>
      <c r="R242" s="29"/>
    </row>
    <row r="243" spans="13:18" ht="8.25" customHeight="1">
      <c r="M243" s="29"/>
      <c r="N243" s="29"/>
      <c r="O243" s="29"/>
      <c r="P243" s="29"/>
      <c r="Q243" s="29"/>
      <c r="R243" s="29"/>
    </row>
    <row r="244" spans="13:18" ht="8.25" customHeight="1">
      <c r="M244" s="29"/>
      <c r="N244" s="29"/>
      <c r="O244" s="29"/>
      <c r="P244" s="29"/>
      <c r="Q244" s="29"/>
      <c r="R244" s="29"/>
    </row>
    <row r="245" spans="13:18" ht="8.25" customHeight="1">
      <c r="M245" s="29"/>
      <c r="N245" s="29"/>
      <c r="O245" s="29"/>
      <c r="P245" s="29"/>
      <c r="Q245" s="29"/>
      <c r="R245" s="29"/>
    </row>
    <row r="246" spans="13:18" ht="8.25" customHeight="1">
      <c r="M246" s="29"/>
      <c r="N246" s="29"/>
      <c r="O246" s="29"/>
      <c r="P246" s="29"/>
      <c r="Q246" s="29"/>
      <c r="R246" s="29"/>
    </row>
    <row r="247" spans="13:18" ht="8.25" customHeight="1">
      <c r="M247" s="29"/>
      <c r="N247" s="29"/>
      <c r="O247" s="29"/>
      <c r="P247" s="29"/>
      <c r="Q247" s="29"/>
      <c r="R247" s="29"/>
    </row>
    <row r="248" spans="13:18" ht="8.25" customHeight="1">
      <c r="M248" s="29"/>
      <c r="N248" s="29"/>
      <c r="O248" s="29"/>
      <c r="P248" s="29"/>
      <c r="Q248" s="29"/>
      <c r="R248" s="29"/>
    </row>
    <row r="249" spans="13:18" ht="8.25" customHeight="1">
      <c r="M249" s="29"/>
      <c r="N249" s="29"/>
      <c r="O249" s="29"/>
      <c r="P249" s="29"/>
      <c r="Q249" s="29"/>
      <c r="R249" s="29"/>
    </row>
    <row r="250" spans="13:18" ht="8.25" customHeight="1">
      <c r="M250" s="29"/>
      <c r="N250" s="29"/>
      <c r="O250" s="29"/>
      <c r="P250" s="29"/>
      <c r="Q250" s="29"/>
      <c r="R250" s="29"/>
    </row>
    <row r="251" spans="13:18" ht="8.25" customHeight="1">
      <c r="M251" s="29"/>
      <c r="N251" s="29"/>
      <c r="O251" s="29"/>
      <c r="P251" s="29"/>
      <c r="Q251" s="29"/>
      <c r="R251" s="29"/>
    </row>
    <row r="252" spans="13:18" ht="8.25" customHeight="1">
      <c r="M252" s="29"/>
      <c r="N252" s="29"/>
      <c r="O252" s="29"/>
      <c r="P252" s="29"/>
      <c r="Q252" s="29"/>
      <c r="R252" s="29"/>
    </row>
    <row r="253" spans="13:18" ht="8.25" customHeight="1">
      <c r="M253" s="29"/>
      <c r="N253" s="29"/>
      <c r="O253" s="29"/>
      <c r="P253" s="29"/>
      <c r="Q253" s="29"/>
      <c r="R253" s="29"/>
    </row>
    <row r="254" spans="13:18" ht="8.25" customHeight="1">
      <c r="M254" s="29"/>
      <c r="N254" s="29"/>
      <c r="O254" s="29"/>
      <c r="P254" s="29"/>
      <c r="Q254" s="29"/>
      <c r="R254" s="29"/>
    </row>
    <row r="255" spans="13:18" ht="8.25" customHeight="1">
      <c r="M255" s="29"/>
      <c r="N255" s="29"/>
      <c r="O255" s="29"/>
      <c r="P255" s="29"/>
      <c r="Q255" s="29"/>
      <c r="R255" s="29"/>
    </row>
    <row r="256" spans="13:18" ht="8.25" customHeight="1">
      <c r="M256" s="29"/>
      <c r="N256" s="29"/>
      <c r="O256" s="29"/>
      <c r="P256" s="29"/>
      <c r="Q256" s="29"/>
      <c r="R256" s="29"/>
    </row>
    <row r="257" spans="13:18" ht="8.25" customHeight="1">
      <c r="M257" s="29"/>
      <c r="N257" s="29"/>
      <c r="O257" s="29"/>
      <c r="P257" s="29"/>
      <c r="Q257" s="29"/>
      <c r="R257" s="29"/>
    </row>
    <row r="258" spans="13:18" ht="8.25" customHeight="1">
      <c r="M258" s="29"/>
      <c r="N258" s="29"/>
      <c r="O258" s="29"/>
      <c r="P258" s="29"/>
      <c r="Q258" s="29"/>
      <c r="R258" s="29"/>
    </row>
    <row r="259" spans="13:18" ht="8.25" customHeight="1">
      <c r="M259" s="29"/>
      <c r="N259" s="29"/>
      <c r="O259" s="29"/>
      <c r="P259" s="29"/>
      <c r="Q259" s="29"/>
      <c r="R259" s="29"/>
    </row>
    <row r="260" spans="13:18" ht="8.25" customHeight="1">
      <c r="M260" s="29"/>
      <c r="N260" s="29"/>
      <c r="O260" s="29"/>
      <c r="P260" s="29"/>
      <c r="Q260" s="29"/>
      <c r="R260" s="29"/>
    </row>
    <row r="261" spans="13:18" ht="8.25" customHeight="1">
      <c r="M261" s="29"/>
      <c r="N261" s="29"/>
      <c r="O261" s="29"/>
      <c r="P261" s="29"/>
      <c r="Q261" s="29"/>
      <c r="R261" s="29"/>
    </row>
    <row r="262" spans="13:18" ht="8.25" customHeight="1">
      <c r="M262" s="29"/>
      <c r="N262" s="29"/>
      <c r="O262" s="29"/>
      <c r="P262" s="29"/>
      <c r="Q262" s="29"/>
      <c r="R262" s="29"/>
    </row>
    <row r="263" spans="13:18" ht="8.25" customHeight="1">
      <c r="M263" s="29"/>
      <c r="N263" s="29"/>
      <c r="O263" s="29"/>
      <c r="P263" s="29"/>
      <c r="Q263" s="29"/>
      <c r="R263" s="29"/>
    </row>
    <row r="264" spans="13:18" ht="8.25" customHeight="1">
      <c r="M264" s="29"/>
      <c r="N264" s="29"/>
      <c r="O264" s="29"/>
      <c r="P264" s="29"/>
      <c r="Q264" s="29"/>
      <c r="R264" s="29"/>
    </row>
    <row r="265" spans="13:18" ht="8.25" customHeight="1">
      <c r="M265" s="29"/>
      <c r="N265" s="29"/>
      <c r="O265" s="29"/>
      <c r="P265" s="29"/>
      <c r="Q265" s="29"/>
      <c r="R265" s="29"/>
    </row>
    <row r="266" spans="13:18" ht="8.25" customHeight="1">
      <c r="M266" s="29"/>
      <c r="N266" s="29"/>
      <c r="O266" s="29"/>
      <c r="P266" s="29"/>
      <c r="Q266" s="29"/>
      <c r="R266" s="29"/>
    </row>
    <row r="267" spans="13:18" ht="8.25" customHeight="1">
      <c r="M267" s="29"/>
      <c r="N267" s="29"/>
      <c r="O267" s="29"/>
      <c r="P267" s="29"/>
      <c r="Q267" s="29"/>
      <c r="R267" s="29"/>
    </row>
    <row r="268" spans="13:18" ht="8.25" customHeight="1">
      <c r="M268" s="29"/>
      <c r="N268" s="29"/>
      <c r="O268" s="29"/>
      <c r="P268" s="29"/>
      <c r="Q268" s="29"/>
      <c r="R268" s="29"/>
    </row>
    <row r="269" spans="13:18" ht="8.25" customHeight="1">
      <c r="M269" s="29"/>
      <c r="N269" s="29"/>
      <c r="O269" s="29"/>
      <c r="P269" s="29"/>
      <c r="Q269" s="29"/>
      <c r="R269" s="29"/>
    </row>
    <row r="270" spans="13:18" ht="8.25" customHeight="1">
      <c r="M270" s="29"/>
      <c r="N270" s="29"/>
      <c r="O270" s="29"/>
      <c r="P270" s="29"/>
      <c r="Q270" s="29"/>
      <c r="R270" s="29"/>
    </row>
    <row r="271" spans="13:18" ht="8.25" customHeight="1">
      <c r="M271" s="29"/>
      <c r="N271" s="29"/>
      <c r="O271" s="29"/>
      <c r="P271" s="29"/>
      <c r="Q271" s="29"/>
      <c r="R271" s="29"/>
    </row>
    <row r="272" spans="13:18" ht="8.25" customHeight="1">
      <c r="M272" s="29"/>
      <c r="N272" s="29"/>
      <c r="O272" s="29"/>
      <c r="P272" s="29"/>
      <c r="Q272" s="29"/>
      <c r="R272" s="29"/>
    </row>
    <row r="273" spans="13:18" ht="8.25" customHeight="1">
      <c r="M273" s="29"/>
      <c r="N273" s="29"/>
      <c r="O273" s="29"/>
      <c r="P273" s="29"/>
      <c r="Q273" s="29"/>
      <c r="R273" s="29"/>
    </row>
    <row r="274" spans="13:18" ht="8.25" customHeight="1">
      <c r="M274" s="29"/>
      <c r="N274" s="29"/>
      <c r="O274" s="29"/>
      <c r="P274" s="29"/>
      <c r="Q274" s="29"/>
      <c r="R274" s="29"/>
    </row>
    <row r="275" spans="13:18" ht="8.25" customHeight="1">
      <c r="M275" s="29"/>
      <c r="N275" s="29"/>
      <c r="O275" s="29"/>
      <c r="P275" s="29"/>
      <c r="Q275" s="29"/>
      <c r="R275" s="29"/>
    </row>
    <row r="276" spans="13:18" ht="8.25" customHeight="1">
      <c r="M276" s="29"/>
      <c r="N276" s="29"/>
      <c r="O276" s="29"/>
      <c r="P276" s="29"/>
      <c r="Q276" s="29"/>
      <c r="R276" s="29"/>
    </row>
    <row r="277" spans="13:18" ht="8.25" customHeight="1">
      <c r="M277" s="29"/>
      <c r="N277" s="29"/>
      <c r="O277" s="29"/>
      <c r="P277" s="29"/>
      <c r="Q277" s="29"/>
      <c r="R277" s="29"/>
    </row>
    <row r="278" spans="13:18" ht="8.25" customHeight="1">
      <c r="M278" s="29"/>
      <c r="N278" s="29"/>
      <c r="O278" s="29"/>
      <c r="P278" s="29"/>
      <c r="Q278" s="29"/>
      <c r="R278" s="29"/>
    </row>
    <row r="279" spans="13:18" ht="8.25" customHeight="1">
      <c r="M279" s="29"/>
      <c r="N279" s="29"/>
      <c r="O279" s="29"/>
      <c r="P279" s="29"/>
      <c r="Q279" s="29"/>
      <c r="R279" s="29"/>
    </row>
    <row r="280" spans="13:18" ht="8.25" customHeight="1">
      <c r="M280" s="29"/>
      <c r="N280" s="29"/>
      <c r="O280" s="29"/>
      <c r="P280" s="29"/>
      <c r="Q280" s="29"/>
      <c r="R280" s="29"/>
    </row>
    <row r="281" spans="13:18" ht="8.25" customHeight="1">
      <c r="M281" s="29"/>
      <c r="N281" s="29"/>
      <c r="O281" s="29"/>
      <c r="P281" s="29"/>
      <c r="Q281" s="29"/>
      <c r="R281" s="29"/>
    </row>
    <row r="282" spans="13:18" ht="8.25" customHeight="1">
      <c r="M282" s="29"/>
      <c r="N282" s="29"/>
      <c r="O282" s="29"/>
      <c r="P282" s="29"/>
      <c r="Q282" s="29"/>
      <c r="R282" s="29"/>
    </row>
    <row r="283" spans="13:18" ht="8.25" customHeight="1">
      <c r="M283" s="29"/>
      <c r="N283" s="29"/>
      <c r="O283" s="29"/>
      <c r="P283" s="29"/>
      <c r="Q283" s="29"/>
      <c r="R283" s="29"/>
    </row>
    <row r="284" spans="13:18" ht="8.25" customHeight="1">
      <c r="M284" s="29"/>
      <c r="N284" s="29"/>
      <c r="O284" s="29"/>
      <c r="P284" s="29"/>
      <c r="Q284" s="29"/>
      <c r="R284" s="29"/>
    </row>
    <row r="285" spans="13:18" ht="8.25" customHeight="1">
      <c r="M285" s="29"/>
      <c r="N285" s="29"/>
      <c r="O285" s="29"/>
      <c r="P285" s="29"/>
      <c r="Q285" s="29"/>
      <c r="R285" s="29"/>
    </row>
    <row r="286" spans="13:18" ht="8.25" customHeight="1">
      <c r="M286" s="29"/>
      <c r="N286" s="29"/>
      <c r="O286" s="29"/>
      <c r="P286" s="29"/>
      <c r="Q286" s="29"/>
      <c r="R286" s="29"/>
    </row>
    <row r="287" spans="13:18" ht="8.25" customHeight="1">
      <c r="M287" s="29"/>
      <c r="N287" s="29"/>
      <c r="O287" s="29"/>
      <c r="P287" s="29"/>
      <c r="Q287" s="29"/>
      <c r="R287" s="29"/>
    </row>
    <row r="288" spans="13:18" ht="8.25" customHeight="1">
      <c r="M288" s="29"/>
      <c r="N288" s="29"/>
      <c r="O288" s="29"/>
      <c r="P288" s="29"/>
      <c r="Q288" s="29"/>
      <c r="R288" s="29"/>
    </row>
    <row r="289" spans="13:18" ht="8.25" customHeight="1">
      <c r="M289" s="29"/>
      <c r="N289" s="29"/>
      <c r="O289" s="29"/>
      <c r="P289" s="29"/>
      <c r="Q289" s="29"/>
      <c r="R289" s="29"/>
    </row>
    <row r="290" spans="13:18" ht="8.25" customHeight="1">
      <c r="M290" s="29"/>
      <c r="N290" s="29"/>
      <c r="O290" s="29"/>
      <c r="P290" s="29"/>
      <c r="Q290" s="29"/>
      <c r="R290" s="29"/>
    </row>
    <row r="291" spans="13:18" ht="8.25" customHeight="1">
      <c r="M291" s="29"/>
      <c r="N291" s="29"/>
      <c r="O291" s="29"/>
      <c r="P291" s="29"/>
      <c r="Q291" s="29"/>
      <c r="R291" s="29"/>
    </row>
    <row r="292" spans="13:18" ht="8.25" customHeight="1">
      <c r="M292" s="29"/>
      <c r="N292" s="29"/>
      <c r="O292" s="29"/>
      <c r="P292" s="29"/>
      <c r="Q292" s="29"/>
      <c r="R292" s="29"/>
    </row>
    <row r="293" spans="13:18" ht="8.25" customHeight="1">
      <c r="M293" s="29"/>
      <c r="N293" s="29"/>
      <c r="O293" s="29"/>
      <c r="P293" s="29"/>
      <c r="Q293" s="29"/>
      <c r="R293" s="29"/>
    </row>
    <row r="294" spans="13:18" ht="8.25" customHeight="1">
      <c r="M294" s="29"/>
      <c r="N294" s="29"/>
      <c r="O294" s="29"/>
      <c r="P294" s="29"/>
      <c r="Q294" s="29"/>
      <c r="R294" s="29"/>
    </row>
    <row r="295" spans="13:18" ht="8.25" customHeight="1">
      <c r="M295" s="29"/>
      <c r="N295" s="29"/>
      <c r="O295" s="29"/>
      <c r="P295" s="29"/>
      <c r="Q295" s="29"/>
      <c r="R295" s="29"/>
    </row>
    <row r="296" spans="13:18" ht="8.25" customHeight="1">
      <c r="M296" s="29"/>
      <c r="N296" s="29"/>
      <c r="O296" s="29"/>
      <c r="P296" s="29"/>
      <c r="Q296" s="29"/>
      <c r="R296" s="29"/>
    </row>
    <row r="297" spans="13:18" ht="8.25" customHeight="1">
      <c r="M297" s="29"/>
      <c r="N297" s="29"/>
      <c r="O297" s="29"/>
      <c r="P297" s="29"/>
      <c r="Q297" s="29"/>
      <c r="R297" s="29"/>
    </row>
    <row r="298" spans="13:18" ht="8.25" customHeight="1">
      <c r="M298" s="29"/>
      <c r="N298" s="29"/>
      <c r="O298" s="29"/>
      <c r="P298" s="29"/>
      <c r="Q298" s="29"/>
      <c r="R298" s="29"/>
    </row>
    <row r="299" spans="13:18" ht="8.25" customHeight="1">
      <c r="M299" s="29"/>
      <c r="N299" s="29"/>
      <c r="O299" s="29"/>
      <c r="P299" s="29"/>
      <c r="Q299" s="29"/>
      <c r="R299" s="29"/>
    </row>
    <row r="300" spans="13:18" ht="8.25" customHeight="1">
      <c r="M300" s="29"/>
      <c r="N300" s="29"/>
      <c r="O300" s="29"/>
      <c r="P300" s="29"/>
      <c r="Q300" s="29"/>
      <c r="R300" s="29"/>
    </row>
    <row r="301" spans="13:18" ht="8.25" customHeight="1">
      <c r="M301" s="29"/>
      <c r="N301" s="29"/>
      <c r="O301" s="29"/>
      <c r="P301" s="29"/>
      <c r="Q301" s="29"/>
      <c r="R301" s="29"/>
    </row>
    <row r="302" spans="13:18" ht="8.25" customHeight="1">
      <c r="M302" s="29"/>
      <c r="N302" s="29"/>
      <c r="O302" s="29"/>
      <c r="P302" s="29"/>
      <c r="Q302" s="29"/>
      <c r="R302" s="29"/>
    </row>
    <row r="303" spans="13:18" ht="8.25" customHeight="1">
      <c r="M303" s="29"/>
      <c r="N303" s="29"/>
      <c r="O303" s="29"/>
      <c r="P303" s="29"/>
      <c r="Q303" s="29"/>
      <c r="R303" s="29"/>
    </row>
    <row r="304" spans="13:18" ht="8.25" customHeight="1">
      <c r="M304" s="29"/>
      <c r="N304" s="29"/>
      <c r="O304" s="29"/>
      <c r="P304" s="29"/>
      <c r="Q304" s="29"/>
      <c r="R304" s="29"/>
    </row>
    <row r="305" spans="13:18" ht="8.25" customHeight="1">
      <c r="M305" s="29"/>
      <c r="N305" s="29"/>
      <c r="O305" s="29"/>
      <c r="P305" s="29"/>
      <c r="Q305" s="29"/>
      <c r="R305" s="29"/>
    </row>
    <row r="306" spans="13:18" ht="8.25" customHeight="1">
      <c r="M306" s="29"/>
      <c r="N306" s="29"/>
      <c r="O306" s="29"/>
      <c r="P306" s="29"/>
      <c r="Q306" s="29"/>
      <c r="R306" s="29"/>
    </row>
    <row r="307" spans="13:18" ht="8.25" customHeight="1">
      <c r="M307" s="29"/>
      <c r="N307" s="29"/>
      <c r="O307" s="29"/>
      <c r="P307" s="29"/>
      <c r="Q307" s="29"/>
      <c r="R307" s="29"/>
    </row>
    <row r="308" spans="13:18" ht="8.25" customHeight="1">
      <c r="M308" s="29"/>
      <c r="N308" s="29"/>
      <c r="O308" s="29"/>
      <c r="P308" s="29"/>
      <c r="Q308" s="29"/>
      <c r="R308" s="29"/>
    </row>
    <row r="309" spans="13:18" ht="8.25" customHeight="1">
      <c r="M309" s="29"/>
      <c r="N309" s="29"/>
      <c r="O309" s="29"/>
      <c r="P309" s="29"/>
      <c r="Q309" s="29"/>
      <c r="R309" s="29"/>
    </row>
    <row r="310" spans="13:18" ht="8.25" customHeight="1">
      <c r="M310" s="29"/>
      <c r="N310" s="29"/>
      <c r="O310" s="29"/>
      <c r="P310" s="29"/>
      <c r="Q310" s="29"/>
      <c r="R310" s="29"/>
    </row>
    <row r="311" spans="13:18" ht="8.25" customHeight="1">
      <c r="M311" s="29"/>
      <c r="N311" s="29"/>
      <c r="O311" s="29"/>
      <c r="P311" s="29"/>
      <c r="Q311" s="29"/>
      <c r="R311" s="29"/>
    </row>
    <row r="312" spans="13:18" ht="8.25" customHeight="1">
      <c r="M312" s="29"/>
      <c r="N312" s="29"/>
      <c r="O312" s="29"/>
      <c r="P312" s="29"/>
      <c r="Q312" s="29"/>
      <c r="R312" s="29"/>
    </row>
    <row r="313" spans="13:18" ht="8.25" customHeight="1">
      <c r="M313" s="29"/>
      <c r="N313" s="29"/>
      <c r="O313" s="29"/>
      <c r="P313" s="29"/>
      <c r="Q313" s="29"/>
      <c r="R313" s="29"/>
    </row>
    <row r="314" spans="13:18" ht="8.25" customHeight="1">
      <c r="M314" s="29"/>
      <c r="N314" s="29"/>
      <c r="O314" s="29"/>
      <c r="P314" s="29"/>
      <c r="Q314" s="29"/>
      <c r="R314" s="29"/>
    </row>
    <row r="315" spans="13:18" ht="8.25" customHeight="1">
      <c r="M315" s="29"/>
      <c r="N315" s="29"/>
      <c r="O315" s="29"/>
      <c r="P315" s="29"/>
      <c r="Q315" s="29"/>
      <c r="R315" s="29"/>
    </row>
    <row r="316" spans="13:18" ht="8.25" customHeight="1">
      <c r="M316" s="29"/>
      <c r="N316" s="29"/>
      <c r="O316" s="29"/>
      <c r="P316" s="29"/>
      <c r="Q316" s="29"/>
      <c r="R316" s="29"/>
    </row>
    <row r="317" spans="13:18" ht="8.25" customHeight="1">
      <c r="M317" s="29"/>
      <c r="N317" s="29"/>
      <c r="O317" s="29"/>
      <c r="P317" s="29"/>
      <c r="Q317" s="29"/>
      <c r="R317" s="29"/>
    </row>
    <row r="318" spans="13:18" ht="8.25" customHeight="1">
      <c r="M318" s="29"/>
      <c r="N318" s="29"/>
      <c r="O318" s="29"/>
      <c r="P318" s="29"/>
      <c r="Q318" s="29"/>
      <c r="R318" s="29"/>
    </row>
    <row r="319" spans="13:18" ht="8.25" customHeight="1">
      <c r="M319" s="29"/>
      <c r="N319" s="29"/>
      <c r="O319" s="29"/>
      <c r="P319" s="29"/>
      <c r="Q319" s="29"/>
      <c r="R319" s="29"/>
    </row>
    <row r="320" spans="13:18" ht="8.25" customHeight="1">
      <c r="M320" s="29"/>
      <c r="N320" s="29"/>
      <c r="O320" s="29"/>
      <c r="P320" s="29"/>
      <c r="Q320" s="29"/>
      <c r="R320" s="29"/>
    </row>
    <row r="321" spans="13:18" ht="8.25" customHeight="1">
      <c r="M321" s="29"/>
      <c r="N321" s="29"/>
      <c r="O321" s="29"/>
      <c r="P321" s="29"/>
      <c r="Q321" s="29"/>
      <c r="R321" s="29"/>
    </row>
    <row r="322" spans="13:18" ht="8.25" customHeight="1">
      <c r="M322" s="29"/>
      <c r="N322" s="29"/>
      <c r="O322" s="29"/>
      <c r="P322" s="29"/>
      <c r="Q322" s="29"/>
      <c r="R322" s="29"/>
    </row>
    <row r="323" spans="13:18" ht="8.25" customHeight="1">
      <c r="M323" s="29"/>
      <c r="N323" s="29"/>
      <c r="O323" s="29"/>
      <c r="P323" s="29"/>
      <c r="Q323" s="29"/>
      <c r="R323" s="29"/>
    </row>
    <row r="324" spans="13:18" ht="8.25" customHeight="1">
      <c r="M324" s="29"/>
      <c r="N324" s="29"/>
      <c r="O324" s="29"/>
      <c r="P324" s="29"/>
      <c r="Q324" s="29"/>
      <c r="R324" s="29"/>
    </row>
    <row r="325" spans="13:18" ht="8.25" customHeight="1">
      <c r="M325" s="29"/>
      <c r="N325" s="29"/>
      <c r="O325" s="29"/>
      <c r="P325" s="29"/>
      <c r="Q325" s="29"/>
      <c r="R325" s="29"/>
    </row>
    <row r="326" spans="13:18" ht="8.25" customHeight="1">
      <c r="M326" s="29"/>
      <c r="N326" s="29"/>
      <c r="O326" s="29"/>
      <c r="P326" s="29"/>
      <c r="Q326" s="29"/>
      <c r="R326" s="29"/>
    </row>
    <row r="327" spans="13:18" ht="8.25" customHeight="1">
      <c r="M327" s="29"/>
      <c r="N327" s="29"/>
      <c r="O327" s="29"/>
      <c r="P327" s="29"/>
      <c r="Q327" s="29"/>
      <c r="R327" s="29"/>
    </row>
    <row r="328" spans="13:18" ht="8.25" customHeight="1">
      <c r="M328" s="29"/>
      <c r="N328" s="29"/>
      <c r="O328" s="29"/>
      <c r="P328" s="29"/>
      <c r="Q328" s="29"/>
      <c r="R328" s="29"/>
    </row>
    <row r="329" spans="13:18" ht="8.25" customHeight="1">
      <c r="M329" s="29"/>
      <c r="N329" s="29"/>
      <c r="O329" s="29"/>
      <c r="P329" s="29"/>
      <c r="Q329" s="29"/>
      <c r="R329" s="29"/>
    </row>
    <row r="330" spans="13:18" ht="8.25" customHeight="1">
      <c r="M330" s="29"/>
      <c r="N330" s="29"/>
      <c r="O330" s="29"/>
      <c r="P330" s="29"/>
      <c r="Q330" s="29"/>
      <c r="R330" s="29"/>
    </row>
    <row r="331" spans="13:18" ht="8.25" customHeight="1">
      <c r="M331" s="29"/>
      <c r="N331" s="29"/>
      <c r="O331" s="29"/>
      <c r="P331" s="29"/>
      <c r="Q331" s="29"/>
      <c r="R331" s="29"/>
    </row>
    <row r="332" spans="13:18" ht="8.25" customHeight="1">
      <c r="M332" s="29"/>
      <c r="N332" s="29"/>
      <c r="O332" s="29"/>
      <c r="P332" s="29"/>
      <c r="Q332" s="29"/>
      <c r="R332" s="29"/>
    </row>
    <row r="333" spans="13:18" ht="8.25" customHeight="1">
      <c r="M333" s="29"/>
      <c r="N333" s="29"/>
      <c r="O333" s="29"/>
      <c r="P333" s="29"/>
      <c r="Q333" s="29"/>
      <c r="R333" s="29"/>
    </row>
    <row r="334" spans="13:18" ht="8.25" customHeight="1">
      <c r="M334" s="29"/>
      <c r="N334" s="29"/>
      <c r="O334" s="29"/>
      <c r="P334" s="29"/>
      <c r="Q334" s="29"/>
      <c r="R334" s="29"/>
    </row>
    <row r="335" spans="13:18" ht="8.25" customHeight="1">
      <c r="M335" s="29"/>
      <c r="N335" s="29"/>
      <c r="O335" s="29"/>
      <c r="P335" s="29"/>
      <c r="Q335" s="29"/>
      <c r="R335" s="29"/>
    </row>
    <row r="336" spans="13:18" ht="8.25" customHeight="1">
      <c r="M336" s="29"/>
      <c r="N336" s="29"/>
      <c r="O336" s="29"/>
      <c r="P336" s="29"/>
      <c r="Q336" s="29"/>
      <c r="R336" s="29"/>
    </row>
    <row r="337" spans="13:18" ht="8.25" customHeight="1">
      <c r="M337" s="29"/>
      <c r="N337" s="29"/>
      <c r="O337" s="29"/>
      <c r="P337" s="29"/>
      <c r="Q337" s="29"/>
      <c r="R337" s="29"/>
    </row>
    <row r="338" spans="13:18" ht="8.25" customHeight="1">
      <c r="M338" s="29"/>
      <c r="N338" s="29"/>
      <c r="O338" s="29"/>
      <c r="P338" s="29"/>
      <c r="Q338" s="29"/>
      <c r="R338" s="29"/>
    </row>
    <row r="339" spans="13:18" ht="8.25" customHeight="1">
      <c r="M339" s="29"/>
      <c r="N339" s="29"/>
      <c r="O339" s="29"/>
      <c r="P339" s="29"/>
      <c r="Q339" s="29"/>
      <c r="R339" s="29"/>
    </row>
    <row r="340" spans="13:18" ht="8.25" customHeight="1">
      <c r="M340" s="29"/>
      <c r="N340" s="29"/>
      <c r="O340" s="29"/>
      <c r="P340" s="29"/>
      <c r="Q340" s="29"/>
      <c r="R340" s="29"/>
    </row>
    <row r="341" spans="13:18" ht="8.25" customHeight="1">
      <c r="M341" s="29"/>
      <c r="N341" s="29"/>
      <c r="O341" s="29"/>
      <c r="P341" s="29"/>
      <c r="Q341" s="29"/>
      <c r="R341" s="29"/>
    </row>
    <row r="342" spans="13:18" ht="8.25" customHeight="1">
      <c r="M342" s="29"/>
      <c r="N342" s="29"/>
      <c r="O342" s="29"/>
      <c r="P342" s="29"/>
      <c r="Q342" s="29"/>
      <c r="R342" s="29"/>
    </row>
    <row r="343" spans="13:18" ht="8.25" customHeight="1">
      <c r="M343" s="29"/>
      <c r="N343" s="29"/>
      <c r="O343" s="29"/>
      <c r="P343" s="29"/>
      <c r="Q343" s="29"/>
      <c r="R343" s="29"/>
    </row>
    <row r="344" spans="13:18" ht="8.25" customHeight="1">
      <c r="M344" s="29"/>
      <c r="N344" s="29"/>
      <c r="O344" s="29"/>
      <c r="P344" s="29"/>
      <c r="Q344" s="29"/>
      <c r="R344" s="29"/>
    </row>
    <row r="345" spans="13:18" ht="8.25" customHeight="1">
      <c r="M345" s="29"/>
      <c r="N345" s="29"/>
      <c r="O345" s="29"/>
      <c r="P345" s="29"/>
      <c r="Q345" s="29"/>
      <c r="R345" s="29"/>
    </row>
    <row r="346" spans="13:18" ht="8.25" customHeight="1">
      <c r="M346" s="29"/>
      <c r="N346" s="29"/>
      <c r="O346" s="29"/>
      <c r="P346" s="29"/>
      <c r="Q346" s="29"/>
      <c r="R346" s="29"/>
    </row>
    <row r="347" spans="13:18" ht="8.25" customHeight="1">
      <c r="M347" s="29"/>
      <c r="N347" s="29"/>
      <c r="O347" s="29"/>
      <c r="P347" s="29"/>
      <c r="Q347" s="29"/>
      <c r="R347" s="29"/>
    </row>
    <row r="348" spans="13:18" ht="8.25" customHeight="1">
      <c r="M348" s="29"/>
      <c r="N348" s="29"/>
      <c r="O348" s="29"/>
      <c r="P348" s="29"/>
      <c r="Q348" s="29"/>
      <c r="R348" s="29"/>
    </row>
    <row r="349" spans="13:18" ht="8.25" customHeight="1">
      <c r="M349" s="29"/>
      <c r="N349" s="29"/>
      <c r="O349" s="29"/>
      <c r="P349" s="29"/>
      <c r="Q349" s="29"/>
      <c r="R349" s="29"/>
    </row>
    <row r="350" spans="13:18" ht="8.25" customHeight="1">
      <c r="M350" s="29"/>
      <c r="N350" s="29"/>
      <c r="O350" s="29"/>
      <c r="P350" s="29"/>
      <c r="Q350" s="29"/>
      <c r="R350" s="29"/>
    </row>
    <row r="351" spans="13:18" ht="8.25" customHeight="1">
      <c r="M351" s="29"/>
      <c r="N351" s="29"/>
      <c r="O351" s="29"/>
      <c r="P351" s="29"/>
      <c r="Q351" s="29"/>
      <c r="R351" s="29"/>
    </row>
    <row r="352" spans="13:18" ht="8.25" customHeight="1">
      <c r="M352" s="29"/>
      <c r="N352" s="29"/>
      <c r="O352" s="29"/>
      <c r="P352" s="29"/>
      <c r="Q352" s="29"/>
      <c r="R352" s="29"/>
    </row>
    <row r="353" spans="13:18" ht="8.25" customHeight="1">
      <c r="M353" s="29"/>
      <c r="N353" s="29"/>
      <c r="O353" s="29"/>
      <c r="P353" s="29"/>
      <c r="Q353" s="29"/>
      <c r="R353" s="29"/>
    </row>
    <row r="354" spans="13:18" ht="8.25" customHeight="1">
      <c r="M354" s="29"/>
      <c r="N354" s="29"/>
      <c r="O354" s="29"/>
      <c r="P354" s="29"/>
      <c r="Q354" s="29"/>
      <c r="R354" s="29"/>
    </row>
    <row r="355" spans="13:18" ht="8.25" customHeight="1">
      <c r="M355" s="29"/>
      <c r="N355" s="29"/>
      <c r="O355" s="29"/>
      <c r="P355" s="29"/>
      <c r="Q355" s="29"/>
      <c r="R355" s="29"/>
    </row>
    <row r="356" spans="13:18" ht="8.25" customHeight="1">
      <c r="M356" s="29"/>
      <c r="N356" s="29"/>
      <c r="O356" s="29"/>
      <c r="P356" s="29"/>
      <c r="Q356" s="29"/>
      <c r="R356" s="29"/>
    </row>
    <row r="357" spans="13:18" ht="8.25" customHeight="1">
      <c r="M357" s="29"/>
      <c r="N357" s="29"/>
      <c r="O357" s="29"/>
      <c r="P357" s="29"/>
      <c r="Q357" s="29"/>
      <c r="R357" s="29"/>
    </row>
    <row r="358" spans="13:18" ht="8.25" customHeight="1">
      <c r="M358" s="29"/>
      <c r="N358" s="29"/>
      <c r="O358" s="29"/>
      <c r="P358" s="29"/>
      <c r="Q358" s="29"/>
      <c r="R358" s="29"/>
    </row>
    <row r="359" spans="13:18" ht="8.25" customHeight="1">
      <c r="M359" s="29"/>
      <c r="N359" s="29"/>
      <c r="O359" s="29"/>
      <c r="P359" s="29"/>
      <c r="Q359" s="29"/>
      <c r="R359" s="29"/>
    </row>
    <row r="360" spans="13:18" ht="8.25" customHeight="1">
      <c r="M360" s="29"/>
      <c r="N360" s="29"/>
      <c r="O360" s="29"/>
      <c r="P360" s="29"/>
      <c r="Q360" s="29"/>
      <c r="R360" s="29"/>
    </row>
    <row r="361" spans="13:18" ht="8.25" customHeight="1">
      <c r="M361" s="29"/>
      <c r="N361" s="29"/>
      <c r="O361" s="29"/>
      <c r="P361" s="29"/>
      <c r="Q361" s="29"/>
      <c r="R361" s="29"/>
    </row>
    <row r="362" spans="13:18" ht="8.25" customHeight="1">
      <c r="M362" s="29"/>
      <c r="N362" s="29"/>
      <c r="O362" s="29"/>
      <c r="P362" s="29"/>
      <c r="Q362" s="29"/>
      <c r="R362" s="29"/>
    </row>
    <row r="363" spans="13:18" ht="8.25" customHeight="1">
      <c r="M363" s="29"/>
      <c r="N363" s="29"/>
      <c r="O363" s="29"/>
      <c r="P363" s="29"/>
      <c r="Q363" s="29"/>
      <c r="R363" s="29"/>
    </row>
    <row r="364" spans="13:18" ht="8.25" customHeight="1">
      <c r="M364" s="29"/>
      <c r="N364" s="29"/>
      <c r="O364" s="29"/>
      <c r="P364" s="29"/>
      <c r="Q364" s="29"/>
      <c r="R364" s="29"/>
    </row>
    <row r="365" spans="13:18" ht="8.25" customHeight="1">
      <c r="M365" s="29"/>
      <c r="N365" s="29"/>
      <c r="O365" s="29"/>
      <c r="P365" s="29"/>
      <c r="Q365" s="29"/>
      <c r="R365" s="29"/>
    </row>
    <row r="366" spans="13:18" ht="8.25" customHeight="1">
      <c r="M366" s="29"/>
      <c r="N366" s="29"/>
      <c r="O366" s="29"/>
      <c r="P366" s="29"/>
      <c r="Q366" s="29"/>
      <c r="R366" s="29"/>
    </row>
    <row r="367" spans="13:18" ht="8.25" customHeight="1">
      <c r="M367" s="29"/>
      <c r="N367" s="29"/>
      <c r="O367" s="29"/>
      <c r="P367" s="29"/>
      <c r="Q367" s="29"/>
      <c r="R367" s="29"/>
    </row>
    <row r="368" spans="13:18" ht="8.25" customHeight="1">
      <c r="M368" s="29"/>
      <c r="N368" s="29"/>
      <c r="O368" s="29"/>
      <c r="P368" s="29"/>
      <c r="Q368" s="29"/>
      <c r="R368" s="29"/>
    </row>
    <row r="369" spans="13:18" ht="8.25" customHeight="1">
      <c r="M369" s="29"/>
      <c r="N369" s="29"/>
      <c r="O369" s="29"/>
      <c r="P369" s="29"/>
      <c r="Q369" s="29"/>
      <c r="R369" s="29"/>
    </row>
    <row r="370" spans="13:18" ht="8.25" customHeight="1">
      <c r="M370" s="29"/>
      <c r="N370" s="29"/>
      <c r="O370" s="29"/>
      <c r="P370" s="29"/>
      <c r="Q370" s="29"/>
      <c r="R370" s="29"/>
    </row>
    <row r="371" spans="13:18" ht="8.25" customHeight="1">
      <c r="M371" s="29"/>
      <c r="N371" s="29"/>
      <c r="O371" s="29"/>
      <c r="P371" s="29"/>
      <c r="Q371" s="29"/>
      <c r="R371" s="29"/>
    </row>
    <row r="372" spans="13:18" ht="8.25" customHeight="1">
      <c r="M372" s="29"/>
      <c r="N372" s="29"/>
      <c r="O372" s="29"/>
      <c r="P372" s="29"/>
      <c r="Q372" s="29"/>
      <c r="R372" s="29"/>
    </row>
    <row r="373" spans="13:18" ht="8.25" customHeight="1">
      <c r="M373" s="29"/>
      <c r="N373" s="29"/>
      <c r="O373" s="29"/>
      <c r="P373" s="29"/>
      <c r="Q373" s="29"/>
      <c r="R373" s="29"/>
    </row>
    <row r="374" spans="13:18" ht="8.25" customHeight="1">
      <c r="M374" s="29"/>
      <c r="N374" s="29"/>
      <c r="O374" s="29"/>
      <c r="P374" s="29"/>
      <c r="Q374" s="29"/>
      <c r="R374" s="29"/>
    </row>
    <row r="375" spans="13:18" ht="8.25" customHeight="1">
      <c r="M375" s="29"/>
      <c r="N375" s="29"/>
      <c r="O375" s="29"/>
      <c r="P375" s="29"/>
      <c r="Q375" s="29"/>
      <c r="R375" s="29"/>
    </row>
    <row r="376" spans="13:18" ht="8.25" customHeight="1">
      <c r="M376" s="29"/>
      <c r="N376" s="29"/>
      <c r="O376" s="29"/>
      <c r="P376" s="29"/>
      <c r="Q376" s="29"/>
      <c r="R376" s="29"/>
    </row>
    <row r="377" spans="13:18" ht="8.25" customHeight="1">
      <c r="M377" s="29"/>
      <c r="N377" s="29"/>
      <c r="O377" s="29"/>
      <c r="P377" s="29"/>
      <c r="Q377" s="29"/>
      <c r="R377" s="29"/>
    </row>
    <row r="378" spans="13:18" ht="8.25" customHeight="1">
      <c r="M378" s="29"/>
      <c r="N378" s="29"/>
      <c r="O378" s="29"/>
      <c r="P378" s="29"/>
      <c r="Q378" s="29"/>
      <c r="R378" s="29"/>
    </row>
    <row r="379" spans="13:18" ht="8.25" customHeight="1">
      <c r="M379" s="29"/>
      <c r="N379" s="29"/>
      <c r="O379" s="29"/>
      <c r="P379" s="29"/>
      <c r="Q379" s="29"/>
      <c r="R379" s="29"/>
    </row>
    <row r="380" spans="13:18" ht="8.25" customHeight="1">
      <c r="M380" s="29"/>
      <c r="N380" s="29"/>
      <c r="O380" s="29"/>
      <c r="P380" s="29"/>
      <c r="Q380" s="29"/>
      <c r="R380" s="29"/>
    </row>
    <row r="381" spans="13:18" ht="8.25" customHeight="1">
      <c r="M381" s="29"/>
      <c r="N381" s="29"/>
      <c r="O381" s="29"/>
      <c r="P381" s="29"/>
      <c r="Q381" s="29"/>
      <c r="R381" s="29"/>
    </row>
    <row r="382" spans="13:18" ht="8.25" customHeight="1">
      <c r="M382" s="29"/>
      <c r="N382" s="29"/>
      <c r="O382" s="29"/>
      <c r="P382" s="29"/>
      <c r="Q382" s="29"/>
      <c r="R382" s="29"/>
    </row>
    <row r="383" spans="13:18" ht="8.25" customHeight="1">
      <c r="M383" s="29"/>
      <c r="N383" s="29"/>
      <c r="O383" s="29"/>
      <c r="P383" s="29"/>
      <c r="Q383" s="29"/>
      <c r="R383" s="29"/>
    </row>
    <row r="384" spans="13:18" ht="8.25" customHeight="1">
      <c r="M384" s="29"/>
      <c r="N384" s="29"/>
      <c r="O384" s="29"/>
      <c r="P384" s="29"/>
      <c r="Q384" s="29"/>
      <c r="R384" s="29"/>
    </row>
    <row r="385" spans="13:18" ht="8.25" customHeight="1">
      <c r="M385" s="29"/>
      <c r="N385" s="29"/>
      <c r="O385" s="29"/>
      <c r="P385" s="29"/>
      <c r="Q385" s="29"/>
      <c r="R385" s="29"/>
    </row>
    <row r="386" spans="13:18" ht="8.25" customHeight="1">
      <c r="M386" s="29"/>
      <c r="N386" s="29"/>
      <c r="O386" s="29"/>
      <c r="P386" s="29"/>
      <c r="Q386" s="29"/>
      <c r="R386" s="29"/>
    </row>
    <row r="387" spans="13:18" ht="8.25" customHeight="1">
      <c r="M387" s="29"/>
      <c r="N387" s="29"/>
      <c r="O387" s="29"/>
      <c r="P387" s="29"/>
      <c r="Q387" s="29"/>
      <c r="R387" s="29"/>
    </row>
    <row r="388" spans="13:18" ht="8.25" customHeight="1">
      <c r="M388" s="29"/>
      <c r="N388" s="29"/>
      <c r="O388" s="29"/>
      <c r="P388" s="29"/>
      <c r="Q388" s="29"/>
      <c r="R388" s="29"/>
    </row>
    <row r="389" spans="13:18" ht="8.25" customHeight="1">
      <c r="M389" s="29"/>
      <c r="N389" s="29"/>
      <c r="O389" s="29"/>
      <c r="P389" s="29"/>
      <c r="Q389" s="29"/>
      <c r="R389" s="29"/>
    </row>
    <row r="390" spans="13:18" ht="8.25" customHeight="1">
      <c r="M390" s="29"/>
      <c r="N390" s="29"/>
      <c r="O390" s="29"/>
      <c r="P390" s="29"/>
      <c r="Q390" s="29"/>
      <c r="R390" s="29"/>
    </row>
    <row r="391" spans="13:18" ht="8.25" customHeight="1">
      <c r="M391" s="29"/>
      <c r="N391" s="29"/>
      <c r="O391" s="29"/>
      <c r="P391" s="29"/>
      <c r="Q391" s="29"/>
      <c r="R391" s="29"/>
    </row>
    <row r="392" spans="13:18" ht="8.25" customHeight="1">
      <c r="M392" s="29"/>
      <c r="N392" s="29"/>
      <c r="O392" s="29"/>
      <c r="P392" s="29"/>
      <c r="Q392" s="29"/>
      <c r="R392" s="29"/>
    </row>
    <row r="393" spans="13:18" ht="8.25" customHeight="1">
      <c r="M393" s="29"/>
      <c r="N393" s="29"/>
      <c r="O393" s="29"/>
      <c r="P393" s="29"/>
      <c r="Q393" s="29"/>
      <c r="R393" s="29"/>
    </row>
    <row r="394" spans="13:18" ht="8.25" customHeight="1">
      <c r="M394" s="29"/>
      <c r="N394" s="29"/>
      <c r="O394" s="29"/>
      <c r="P394" s="29"/>
      <c r="Q394" s="29"/>
      <c r="R394" s="29"/>
    </row>
    <row r="395" spans="13:18" ht="8.25" customHeight="1">
      <c r="M395" s="29"/>
      <c r="N395" s="29"/>
      <c r="O395" s="29"/>
      <c r="P395" s="29"/>
      <c r="Q395" s="29"/>
      <c r="R395" s="29"/>
    </row>
    <row r="396" spans="13:18" ht="8.25" customHeight="1">
      <c r="M396" s="29"/>
      <c r="N396" s="29"/>
      <c r="O396" s="29"/>
      <c r="P396" s="29"/>
      <c r="Q396" s="29"/>
      <c r="R396" s="29"/>
    </row>
    <row r="397" spans="13:18" ht="8.25" customHeight="1">
      <c r="M397" s="29"/>
      <c r="N397" s="29"/>
      <c r="O397" s="29"/>
      <c r="P397" s="29"/>
      <c r="Q397" s="29"/>
      <c r="R397" s="29"/>
    </row>
    <row r="398" spans="13:18" ht="8.25" customHeight="1">
      <c r="M398" s="29"/>
      <c r="N398" s="29"/>
      <c r="O398" s="29"/>
      <c r="P398" s="29"/>
      <c r="Q398" s="29"/>
      <c r="R398" s="29"/>
    </row>
    <row r="399" spans="13:18" ht="8.25" customHeight="1">
      <c r="M399" s="29"/>
      <c r="N399" s="29"/>
      <c r="O399" s="29"/>
      <c r="P399" s="29"/>
      <c r="Q399" s="29"/>
      <c r="R399" s="29"/>
    </row>
    <row r="400" spans="13:18" ht="8.25" customHeight="1">
      <c r="M400" s="29"/>
      <c r="N400" s="29"/>
      <c r="O400" s="29"/>
      <c r="P400" s="29"/>
      <c r="Q400" s="29"/>
      <c r="R400" s="29"/>
    </row>
    <row r="401" spans="13:18" ht="8.25" customHeight="1">
      <c r="M401" s="29"/>
      <c r="N401" s="29"/>
      <c r="O401" s="29"/>
      <c r="P401" s="29"/>
      <c r="Q401" s="29"/>
      <c r="R401" s="29"/>
    </row>
    <row r="402" spans="13:18" ht="8.25" customHeight="1">
      <c r="M402" s="29"/>
      <c r="N402" s="29"/>
      <c r="O402" s="29"/>
      <c r="P402" s="29"/>
      <c r="Q402" s="29"/>
      <c r="R402" s="29"/>
    </row>
    <row r="403" spans="13:18" ht="8.25" customHeight="1">
      <c r="M403" s="29"/>
      <c r="N403" s="29"/>
      <c r="O403" s="29"/>
      <c r="P403" s="29"/>
      <c r="Q403" s="29"/>
      <c r="R403" s="29"/>
    </row>
    <row r="404" spans="13:18" ht="8.25" customHeight="1">
      <c r="M404" s="29"/>
      <c r="N404" s="29"/>
      <c r="O404" s="29"/>
      <c r="P404" s="29"/>
      <c r="Q404" s="29"/>
      <c r="R404" s="29"/>
    </row>
    <row r="405" spans="13:18" ht="8.25" customHeight="1">
      <c r="M405" s="29"/>
      <c r="N405" s="29"/>
      <c r="O405" s="29"/>
      <c r="P405" s="29"/>
      <c r="Q405" s="29"/>
      <c r="R405" s="29"/>
    </row>
    <row r="406" spans="13:18" ht="8.25" customHeight="1">
      <c r="M406" s="29"/>
      <c r="N406" s="29"/>
      <c r="O406" s="29"/>
      <c r="P406" s="29"/>
      <c r="Q406" s="29"/>
      <c r="R406" s="29"/>
    </row>
    <row r="407" spans="13:18" ht="8.25" customHeight="1">
      <c r="M407" s="29"/>
      <c r="N407" s="29"/>
      <c r="O407" s="29"/>
      <c r="P407" s="29"/>
      <c r="Q407" s="29"/>
      <c r="R407" s="29"/>
    </row>
    <row r="408" spans="13:18" ht="8.25" customHeight="1">
      <c r="M408" s="29"/>
      <c r="N408" s="29"/>
      <c r="O408" s="29"/>
      <c r="P408" s="29"/>
      <c r="Q408" s="29"/>
      <c r="R408" s="29"/>
    </row>
    <row r="409" spans="13:18" ht="8.25" customHeight="1">
      <c r="M409" s="29"/>
      <c r="N409" s="29"/>
      <c r="O409" s="29"/>
      <c r="P409" s="29"/>
      <c r="Q409" s="29"/>
      <c r="R409" s="29"/>
    </row>
    <row r="410" spans="13:18" ht="8.25" customHeight="1">
      <c r="M410" s="29"/>
      <c r="N410" s="29"/>
      <c r="O410" s="29"/>
      <c r="P410" s="29"/>
      <c r="Q410" s="29"/>
      <c r="R410" s="29"/>
    </row>
    <row r="411" spans="13:18" ht="8.25" customHeight="1">
      <c r="M411" s="29"/>
      <c r="N411" s="29"/>
      <c r="O411" s="29"/>
      <c r="P411" s="29"/>
      <c r="Q411" s="29"/>
      <c r="R411" s="29"/>
    </row>
    <row r="412" spans="13:18" ht="8.25" customHeight="1">
      <c r="M412" s="29"/>
      <c r="N412" s="29"/>
      <c r="O412" s="29"/>
      <c r="P412" s="29"/>
      <c r="Q412" s="29"/>
      <c r="R412" s="29"/>
    </row>
    <row r="413" spans="13:18" ht="8.25" customHeight="1">
      <c r="M413" s="29"/>
      <c r="N413" s="29"/>
      <c r="O413" s="29"/>
      <c r="P413" s="29"/>
      <c r="Q413" s="29"/>
      <c r="R413" s="29"/>
    </row>
    <row r="414" spans="13:18" ht="8.25" customHeight="1">
      <c r="M414" s="29"/>
      <c r="N414" s="29"/>
      <c r="O414" s="29"/>
      <c r="P414" s="29"/>
      <c r="Q414" s="29"/>
      <c r="R414" s="29"/>
    </row>
    <row r="415" spans="13:18" ht="8.25" customHeight="1">
      <c r="M415" s="29"/>
      <c r="N415" s="29"/>
      <c r="O415" s="29"/>
      <c r="P415" s="29"/>
      <c r="Q415" s="29"/>
      <c r="R415" s="29"/>
    </row>
    <row r="416" spans="13:18" ht="8.25" customHeight="1">
      <c r="M416" s="29"/>
      <c r="N416" s="29"/>
      <c r="O416" s="29"/>
      <c r="P416" s="29"/>
      <c r="Q416" s="29"/>
      <c r="R416" s="29"/>
    </row>
    <row r="417" spans="13:18" ht="8.25" customHeight="1">
      <c r="M417" s="29"/>
      <c r="N417" s="29"/>
      <c r="O417" s="29"/>
      <c r="P417" s="29"/>
      <c r="Q417" s="29"/>
      <c r="R417" s="29"/>
    </row>
    <row r="418" spans="13:18" ht="8.25" customHeight="1">
      <c r="M418" s="29"/>
      <c r="N418" s="29"/>
      <c r="O418" s="29"/>
      <c r="P418" s="29"/>
      <c r="Q418" s="29"/>
      <c r="R418" s="29"/>
    </row>
    <row r="419" spans="13:18" ht="8.25" customHeight="1">
      <c r="M419" s="29"/>
      <c r="N419" s="29"/>
      <c r="O419" s="29"/>
      <c r="P419" s="29"/>
      <c r="Q419" s="29"/>
      <c r="R419" s="29"/>
    </row>
    <row r="420" spans="13:18" ht="8.25" customHeight="1">
      <c r="M420" s="29"/>
      <c r="N420" s="29"/>
      <c r="O420" s="29"/>
      <c r="P420" s="29"/>
      <c r="Q420" s="29"/>
      <c r="R420" s="29"/>
    </row>
    <row r="421" spans="13:18" ht="8.25" customHeight="1">
      <c r="M421" s="29"/>
      <c r="N421" s="29"/>
      <c r="O421" s="29"/>
      <c r="P421" s="29"/>
      <c r="Q421" s="29"/>
      <c r="R421" s="29"/>
    </row>
    <row r="422" spans="13:18" ht="8.25" customHeight="1">
      <c r="M422" s="29"/>
      <c r="N422" s="29"/>
      <c r="O422" s="29"/>
      <c r="P422" s="29"/>
      <c r="Q422" s="29"/>
      <c r="R422" s="29"/>
    </row>
    <row r="423" spans="13:18" ht="8.25" customHeight="1">
      <c r="M423" s="29"/>
      <c r="N423" s="29"/>
      <c r="O423" s="29"/>
      <c r="P423" s="29"/>
      <c r="Q423" s="29"/>
      <c r="R423" s="29"/>
    </row>
    <row r="424" spans="13:18" ht="8.25" customHeight="1">
      <c r="M424" s="29"/>
      <c r="N424" s="29"/>
      <c r="O424" s="29"/>
      <c r="P424" s="29"/>
      <c r="Q424" s="29"/>
      <c r="R424" s="29"/>
    </row>
    <row r="425" spans="13:18" ht="8.25" customHeight="1">
      <c r="M425" s="29"/>
      <c r="N425" s="29"/>
      <c r="O425" s="29"/>
      <c r="P425" s="29"/>
      <c r="Q425" s="29"/>
      <c r="R425" s="29"/>
    </row>
    <row r="426" spans="13:18" ht="8.25" customHeight="1">
      <c r="M426" s="29"/>
      <c r="N426" s="29"/>
      <c r="O426" s="29"/>
      <c r="P426" s="29"/>
      <c r="Q426" s="29"/>
      <c r="R426" s="29"/>
    </row>
    <row r="427" spans="13:18" ht="8.25" customHeight="1">
      <c r="M427" s="29"/>
      <c r="N427" s="29"/>
      <c r="O427" s="29"/>
      <c r="P427" s="29"/>
      <c r="Q427" s="29"/>
      <c r="R427" s="29"/>
    </row>
    <row r="428" spans="13:18" ht="8.25" customHeight="1">
      <c r="M428" s="29"/>
      <c r="N428" s="29"/>
      <c r="O428" s="29"/>
      <c r="P428" s="29"/>
      <c r="Q428" s="29"/>
      <c r="R428" s="29"/>
    </row>
    <row r="429" spans="13:18" ht="8.25" customHeight="1">
      <c r="M429" s="29"/>
      <c r="N429" s="29"/>
      <c r="O429" s="29"/>
      <c r="P429" s="29"/>
      <c r="Q429" s="29"/>
      <c r="R429" s="29"/>
    </row>
    <row r="430" spans="13:18" ht="8.25" customHeight="1">
      <c r="M430" s="29"/>
      <c r="N430" s="29"/>
      <c r="O430" s="29"/>
      <c r="P430" s="29"/>
      <c r="Q430" s="29"/>
      <c r="R430" s="29"/>
    </row>
    <row r="431" spans="13:18" ht="8.25" customHeight="1">
      <c r="M431" s="29"/>
      <c r="N431" s="29"/>
      <c r="O431" s="29"/>
      <c r="P431" s="29"/>
      <c r="Q431" s="29"/>
      <c r="R431" s="29"/>
    </row>
    <row r="432" spans="13:18" ht="8.25" customHeight="1">
      <c r="M432" s="29"/>
      <c r="N432" s="29"/>
      <c r="O432" s="29"/>
      <c r="P432" s="29"/>
      <c r="Q432" s="29"/>
      <c r="R432" s="29"/>
    </row>
    <row r="433" spans="13:18" ht="8.25" customHeight="1">
      <c r="M433" s="29"/>
      <c r="N433" s="29"/>
      <c r="O433" s="29"/>
      <c r="P433" s="29"/>
      <c r="Q433" s="29"/>
      <c r="R433" s="29"/>
    </row>
    <row r="434" spans="13:18" ht="8.25" customHeight="1">
      <c r="M434" s="29"/>
      <c r="N434" s="29"/>
      <c r="O434" s="29"/>
      <c r="P434" s="29"/>
      <c r="Q434" s="29"/>
      <c r="R434" s="29"/>
    </row>
    <row r="435" spans="13:18" ht="8.25" customHeight="1">
      <c r="M435" s="29"/>
      <c r="N435" s="29"/>
      <c r="O435" s="29"/>
      <c r="P435" s="29"/>
      <c r="Q435" s="29"/>
      <c r="R435" s="29"/>
    </row>
    <row r="436" spans="13:18" ht="8.25" customHeight="1">
      <c r="M436" s="29"/>
      <c r="N436" s="29"/>
      <c r="O436" s="29"/>
      <c r="P436" s="29"/>
      <c r="Q436" s="29"/>
      <c r="R436" s="29"/>
    </row>
    <row r="437" spans="13:18" ht="8.25" customHeight="1">
      <c r="M437" s="29"/>
      <c r="N437" s="29"/>
      <c r="O437" s="29"/>
      <c r="P437" s="29"/>
      <c r="Q437" s="29"/>
      <c r="R437" s="29"/>
    </row>
    <row r="438" spans="13:18" ht="8.25" customHeight="1">
      <c r="M438" s="29"/>
      <c r="N438" s="29"/>
      <c r="O438" s="29"/>
      <c r="P438" s="29"/>
      <c r="Q438" s="29"/>
      <c r="R438" s="29"/>
    </row>
    <row r="439" spans="13:18" ht="8.25" customHeight="1">
      <c r="M439" s="29"/>
      <c r="N439" s="29"/>
      <c r="O439" s="29"/>
      <c r="P439" s="29"/>
      <c r="Q439" s="29"/>
      <c r="R439" s="29"/>
    </row>
    <row r="440" spans="13:18" ht="8.25" customHeight="1">
      <c r="M440" s="29"/>
      <c r="N440" s="29"/>
      <c r="O440" s="29"/>
      <c r="P440" s="29"/>
      <c r="Q440" s="29"/>
      <c r="R440" s="29"/>
    </row>
    <row r="441" spans="13:18" ht="8.25" customHeight="1">
      <c r="M441" s="29"/>
      <c r="N441" s="29"/>
      <c r="O441" s="29"/>
      <c r="P441" s="29"/>
      <c r="Q441" s="29"/>
      <c r="R441" s="29"/>
    </row>
    <row r="442" spans="13:18" ht="8.25" customHeight="1">
      <c r="M442" s="29"/>
      <c r="N442" s="29"/>
      <c r="O442" s="29"/>
      <c r="P442" s="29"/>
      <c r="Q442" s="29"/>
      <c r="R442" s="29"/>
    </row>
    <row r="443" spans="13:18" ht="8.25" customHeight="1">
      <c r="M443" s="29"/>
      <c r="N443" s="29"/>
      <c r="O443" s="29"/>
      <c r="P443" s="29"/>
      <c r="Q443" s="29"/>
      <c r="R443" s="29"/>
    </row>
    <row r="444" spans="13:18" ht="8.25" customHeight="1">
      <c r="M444" s="29"/>
      <c r="N444" s="29"/>
      <c r="O444" s="29"/>
      <c r="P444" s="29"/>
      <c r="Q444" s="29"/>
      <c r="R444" s="29"/>
    </row>
    <row r="445" spans="13:18" ht="8.25" customHeight="1">
      <c r="M445" s="29"/>
      <c r="N445" s="29"/>
      <c r="O445" s="29"/>
      <c r="P445" s="29"/>
      <c r="Q445" s="29"/>
      <c r="R445" s="29"/>
    </row>
    <row r="446" spans="13:18" ht="8.25" customHeight="1">
      <c r="M446" s="29"/>
      <c r="N446" s="29"/>
      <c r="O446" s="29"/>
      <c r="P446" s="29"/>
      <c r="Q446" s="29"/>
      <c r="R446" s="29"/>
    </row>
    <row r="447" spans="13:18" ht="8.25" customHeight="1">
      <c r="M447" s="29"/>
      <c r="N447" s="29"/>
      <c r="O447" s="29"/>
      <c r="P447" s="29"/>
      <c r="Q447" s="29"/>
      <c r="R447" s="29"/>
    </row>
    <row r="448" spans="13:18" ht="8.25" customHeight="1">
      <c r="M448" s="29"/>
      <c r="N448" s="29"/>
      <c r="O448" s="29"/>
      <c r="P448" s="29"/>
      <c r="Q448" s="29"/>
      <c r="R448" s="29"/>
    </row>
    <row r="449" spans="13:18" ht="8.25" customHeight="1">
      <c r="M449" s="29"/>
      <c r="N449" s="29"/>
      <c r="O449" s="29"/>
      <c r="P449" s="29"/>
      <c r="Q449" s="29"/>
      <c r="R449" s="29"/>
    </row>
    <row r="450" spans="13:18" ht="8.25" customHeight="1">
      <c r="M450" s="29"/>
      <c r="N450" s="29"/>
      <c r="O450" s="29"/>
      <c r="P450" s="29"/>
      <c r="Q450" s="29"/>
      <c r="R450" s="29"/>
    </row>
    <row r="451" spans="13:18" ht="8.25" customHeight="1">
      <c r="M451" s="29"/>
      <c r="N451" s="29"/>
      <c r="O451" s="29"/>
      <c r="P451" s="29"/>
      <c r="Q451" s="29"/>
      <c r="R451" s="29"/>
    </row>
    <row r="452" spans="13:18" ht="8.25" customHeight="1">
      <c r="M452" s="29"/>
      <c r="N452" s="29"/>
      <c r="O452" s="29"/>
      <c r="P452" s="29"/>
      <c r="Q452" s="29"/>
      <c r="R452" s="29"/>
    </row>
    <row r="453" spans="13:18" ht="8.25" customHeight="1">
      <c r="M453" s="29"/>
      <c r="N453" s="29"/>
      <c r="O453" s="29"/>
      <c r="P453" s="29"/>
      <c r="Q453" s="29"/>
      <c r="R453" s="29"/>
    </row>
    <row r="454" spans="13:18" ht="8.25" customHeight="1">
      <c r="M454" s="29"/>
      <c r="N454" s="29"/>
      <c r="O454" s="29"/>
      <c r="P454" s="29"/>
      <c r="Q454" s="29"/>
      <c r="R454" s="29"/>
    </row>
    <row r="455" spans="13:18" ht="8.25" customHeight="1">
      <c r="M455" s="29"/>
      <c r="N455" s="29"/>
      <c r="O455" s="29"/>
      <c r="P455" s="29"/>
      <c r="Q455" s="29"/>
      <c r="R455" s="29"/>
    </row>
    <row r="456" spans="13:18" ht="8.25" customHeight="1">
      <c r="M456" s="29"/>
      <c r="N456" s="29"/>
      <c r="O456" s="29"/>
      <c r="P456" s="29"/>
      <c r="Q456" s="29"/>
      <c r="R456" s="29"/>
    </row>
    <row r="457" spans="13:18" ht="8.25" customHeight="1">
      <c r="M457" s="29"/>
      <c r="N457" s="29"/>
      <c r="O457" s="29"/>
      <c r="P457" s="29"/>
      <c r="Q457" s="29"/>
      <c r="R457" s="29"/>
    </row>
    <row r="458" spans="13:18" ht="8.25" customHeight="1">
      <c r="M458" s="29"/>
      <c r="N458" s="29"/>
      <c r="O458" s="29"/>
      <c r="P458" s="29"/>
      <c r="Q458" s="29"/>
      <c r="R458" s="29"/>
    </row>
    <row r="459" spans="13:18" ht="8.25" customHeight="1">
      <c r="M459" s="29"/>
      <c r="N459" s="29"/>
      <c r="O459" s="29"/>
      <c r="P459" s="29"/>
      <c r="Q459" s="29"/>
      <c r="R459" s="29"/>
    </row>
    <row r="460" spans="13:18" ht="8.25" customHeight="1">
      <c r="M460" s="29"/>
      <c r="N460" s="29"/>
      <c r="O460" s="29"/>
      <c r="P460" s="29"/>
      <c r="Q460" s="29"/>
      <c r="R460" s="29"/>
    </row>
    <row r="461" spans="13:18" ht="8.25" customHeight="1">
      <c r="M461" s="29"/>
      <c r="N461" s="29"/>
      <c r="O461" s="29"/>
      <c r="P461" s="29"/>
      <c r="Q461" s="29"/>
      <c r="R461" s="29"/>
    </row>
    <row r="462" spans="13:18" ht="8.25" customHeight="1">
      <c r="M462" s="29"/>
      <c r="N462" s="29"/>
      <c r="O462" s="29"/>
      <c r="P462" s="29"/>
      <c r="Q462" s="29"/>
      <c r="R462" s="29"/>
    </row>
    <row r="463" spans="13:18" ht="8.25" customHeight="1">
      <c r="M463" s="29"/>
      <c r="N463" s="29"/>
      <c r="O463" s="29"/>
      <c r="P463" s="29"/>
      <c r="Q463" s="29"/>
      <c r="R463" s="29"/>
    </row>
    <row r="464" spans="13:18" ht="8.25" customHeight="1">
      <c r="M464" s="29"/>
      <c r="N464" s="29"/>
      <c r="O464" s="29"/>
      <c r="P464" s="29"/>
      <c r="Q464" s="29"/>
      <c r="R464" s="29"/>
    </row>
    <row r="465" spans="13:18" ht="8.25" customHeight="1">
      <c r="M465" s="29"/>
      <c r="N465" s="29"/>
      <c r="O465" s="29"/>
      <c r="P465" s="29"/>
      <c r="Q465" s="29"/>
      <c r="R465" s="29"/>
    </row>
    <row r="466" spans="13:18" ht="8.25" customHeight="1">
      <c r="M466" s="29"/>
      <c r="N466" s="29"/>
      <c r="O466" s="29"/>
      <c r="P466" s="29"/>
      <c r="Q466" s="29"/>
      <c r="R466" s="29"/>
    </row>
    <row r="467" spans="13:18" ht="8.25" customHeight="1">
      <c r="M467" s="29"/>
      <c r="N467" s="29"/>
      <c r="O467" s="29"/>
      <c r="P467" s="29"/>
      <c r="Q467" s="29"/>
      <c r="R467" s="29"/>
    </row>
    <row r="468" spans="13:18" ht="8.25" customHeight="1">
      <c r="M468" s="29"/>
      <c r="N468" s="29"/>
      <c r="O468" s="29"/>
      <c r="P468" s="29"/>
      <c r="Q468" s="29"/>
      <c r="R468" s="29"/>
    </row>
    <row r="469" spans="13:18" ht="8.25" customHeight="1">
      <c r="M469" s="29"/>
      <c r="N469" s="29"/>
      <c r="O469" s="29"/>
      <c r="P469" s="29"/>
      <c r="Q469" s="29"/>
      <c r="R469" s="29"/>
    </row>
    <row r="470" spans="13:18" ht="8.25" customHeight="1">
      <c r="M470" s="29"/>
      <c r="N470" s="29"/>
      <c r="O470" s="29"/>
      <c r="P470" s="29"/>
      <c r="Q470" s="29"/>
      <c r="R470" s="29"/>
    </row>
    <row r="471" spans="13:18" ht="8.25" customHeight="1">
      <c r="M471" s="29"/>
      <c r="N471" s="29"/>
      <c r="O471" s="29"/>
      <c r="P471" s="29"/>
      <c r="Q471" s="29"/>
      <c r="R471" s="29"/>
    </row>
    <row r="472" spans="13:18" ht="8.25" customHeight="1">
      <c r="M472" s="29"/>
      <c r="N472" s="29"/>
      <c r="O472" s="29"/>
      <c r="P472" s="29"/>
      <c r="Q472" s="29"/>
      <c r="R472" s="29"/>
    </row>
    <row r="473" spans="13:18" ht="8.25" customHeight="1">
      <c r="M473" s="29"/>
      <c r="N473" s="29"/>
      <c r="O473" s="29"/>
      <c r="P473" s="29"/>
      <c r="Q473" s="29"/>
      <c r="R473" s="29"/>
    </row>
    <row r="474" spans="13:18" ht="8.25" customHeight="1">
      <c r="M474" s="29"/>
      <c r="N474" s="29"/>
      <c r="O474" s="29"/>
      <c r="P474" s="29"/>
      <c r="Q474" s="29"/>
      <c r="R474" s="29"/>
    </row>
    <row r="475" spans="13:18" ht="8.25" customHeight="1">
      <c r="M475" s="29"/>
      <c r="N475" s="29"/>
      <c r="O475" s="29"/>
      <c r="P475" s="29"/>
      <c r="Q475" s="29"/>
      <c r="R475" s="29"/>
    </row>
    <row r="476" spans="13:18" ht="8.25" customHeight="1">
      <c r="M476" s="29"/>
      <c r="N476" s="29"/>
      <c r="O476" s="29"/>
      <c r="P476" s="29"/>
      <c r="Q476" s="29"/>
      <c r="R476" s="29"/>
    </row>
    <row r="477" spans="13:18" ht="8.25" customHeight="1">
      <c r="M477" s="29"/>
      <c r="N477" s="29"/>
      <c r="O477" s="29"/>
      <c r="P477" s="29"/>
      <c r="Q477" s="29"/>
      <c r="R477" s="29"/>
    </row>
    <row r="478" spans="13:18" ht="8.25" customHeight="1">
      <c r="M478" s="29"/>
      <c r="N478" s="29"/>
      <c r="O478" s="29"/>
      <c r="P478" s="29"/>
      <c r="Q478" s="29"/>
      <c r="R478" s="29"/>
    </row>
    <row r="479" spans="13:18" ht="8.25" customHeight="1">
      <c r="M479" s="29"/>
      <c r="N479" s="29"/>
      <c r="O479" s="29"/>
      <c r="P479" s="29"/>
      <c r="Q479" s="29"/>
      <c r="R479" s="29"/>
    </row>
    <row r="480" spans="13:18" ht="8.25" customHeight="1">
      <c r="M480" s="29"/>
      <c r="N480" s="29"/>
      <c r="O480" s="29"/>
      <c r="P480" s="29"/>
      <c r="Q480" s="29"/>
      <c r="R480" s="29"/>
    </row>
    <row r="481" spans="13:18" ht="8.25" customHeight="1">
      <c r="M481" s="29"/>
      <c r="N481" s="29"/>
      <c r="O481" s="29"/>
      <c r="P481" s="29"/>
      <c r="Q481" s="29"/>
      <c r="R481" s="29"/>
    </row>
    <row r="482" spans="13:18" ht="8.25" customHeight="1">
      <c r="M482" s="29"/>
      <c r="N482" s="29"/>
      <c r="O482" s="29"/>
      <c r="P482" s="29"/>
      <c r="Q482" s="29"/>
      <c r="R482" s="29"/>
    </row>
    <row r="483" spans="13:18" ht="8.25" customHeight="1">
      <c r="M483" s="29"/>
      <c r="N483" s="29"/>
      <c r="O483" s="29"/>
      <c r="P483" s="29"/>
      <c r="Q483" s="29"/>
      <c r="R483" s="29"/>
    </row>
    <row r="484" spans="13:18" ht="8.25" customHeight="1">
      <c r="M484" s="29"/>
      <c r="N484" s="29"/>
      <c r="O484" s="29"/>
      <c r="P484" s="29"/>
      <c r="Q484" s="29"/>
      <c r="R484" s="29"/>
    </row>
    <row r="485" spans="13:18" ht="8.25" customHeight="1">
      <c r="M485" s="29"/>
      <c r="N485" s="29"/>
      <c r="O485" s="29"/>
      <c r="P485" s="29"/>
      <c r="Q485" s="29"/>
      <c r="R485" s="29"/>
    </row>
    <row r="486" spans="13:18" ht="8.25" customHeight="1">
      <c r="M486" s="29"/>
      <c r="N486" s="29"/>
      <c r="O486" s="29"/>
      <c r="P486" s="29"/>
      <c r="Q486" s="29"/>
      <c r="R486" s="29"/>
    </row>
    <row r="487" spans="13:18" ht="8.25" customHeight="1">
      <c r="M487" s="29"/>
      <c r="N487" s="29"/>
      <c r="O487" s="29"/>
      <c r="P487" s="29"/>
      <c r="Q487" s="29"/>
      <c r="R487" s="29"/>
    </row>
    <row r="488" spans="13:18" ht="8.25" customHeight="1">
      <c r="M488" s="29"/>
      <c r="N488" s="29"/>
      <c r="O488" s="29"/>
      <c r="P488" s="29"/>
      <c r="Q488" s="29"/>
      <c r="R488" s="29"/>
    </row>
    <row r="489" spans="13:18" ht="8.25" customHeight="1">
      <c r="M489" s="29"/>
      <c r="N489" s="29"/>
      <c r="O489" s="29"/>
      <c r="P489" s="29"/>
      <c r="Q489" s="29"/>
      <c r="R489" s="29"/>
    </row>
    <row r="490" spans="13:18" ht="8.25" customHeight="1">
      <c r="M490" s="29"/>
      <c r="N490" s="29"/>
      <c r="O490" s="29"/>
      <c r="P490" s="29"/>
      <c r="Q490" s="29"/>
      <c r="R490" s="29"/>
    </row>
    <row r="491" spans="13:18" ht="8.25" customHeight="1">
      <c r="M491" s="29"/>
      <c r="N491" s="29"/>
      <c r="O491" s="29"/>
      <c r="P491" s="29"/>
      <c r="Q491" s="29"/>
      <c r="R491" s="29"/>
    </row>
    <row r="492" spans="13:18" ht="8.25" customHeight="1">
      <c r="M492" s="29"/>
      <c r="N492" s="29"/>
      <c r="O492" s="29"/>
      <c r="P492" s="29"/>
      <c r="Q492" s="29"/>
      <c r="R492" s="29"/>
    </row>
    <row r="493" spans="13:18" ht="8.25" customHeight="1">
      <c r="M493" s="29"/>
      <c r="N493" s="29"/>
      <c r="O493" s="29"/>
      <c r="P493" s="29"/>
      <c r="Q493" s="29"/>
      <c r="R493" s="29"/>
    </row>
    <row r="494" spans="13:18" ht="8.25" customHeight="1">
      <c r="M494" s="29"/>
      <c r="N494" s="29"/>
      <c r="O494" s="29"/>
      <c r="P494" s="29"/>
      <c r="Q494" s="29"/>
      <c r="R494" s="29"/>
    </row>
    <row r="495" spans="13:18" ht="8.25" customHeight="1">
      <c r="M495" s="29"/>
      <c r="N495" s="29"/>
      <c r="O495" s="29"/>
      <c r="P495" s="29"/>
      <c r="Q495" s="29"/>
      <c r="R495" s="29"/>
    </row>
    <row r="496" spans="13:18" ht="8.25" customHeight="1">
      <c r="M496" s="29"/>
      <c r="N496" s="29"/>
      <c r="O496" s="29"/>
      <c r="P496" s="29"/>
      <c r="Q496" s="29"/>
      <c r="R496" s="29"/>
    </row>
    <row r="497" spans="13:18" ht="8.25" customHeight="1">
      <c r="M497" s="29"/>
      <c r="N497" s="29"/>
      <c r="O497" s="29"/>
      <c r="P497" s="29"/>
      <c r="Q497" s="29"/>
      <c r="R497" s="29"/>
    </row>
    <row r="498" spans="13:18" ht="8.25" customHeight="1">
      <c r="M498" s="29"/>
      <c r="N498" s="29"/>
      <c r="O498" s="29"/>
      <c r="P498" s="29"/>
      <c r="Q498" s="29"/>
      <c r="R498" s="29"/>
    </row>
    <row r="499" spans="13:18" ht="8.25" customHeight="1">
      <c r="M499" s="29"/>
      <c r="N499" s="29"/>
      <c r="O499" s="29"/>
      <c r="P499" s="29"/>
      <c r="Q499" s="29"/>
      <c r="R499" s="29"/>
    </row>
    <row r="500" spans="13:18" ht="8.25" customHeight="1">
      <c r="M500" s="29"/>
      <c r="N500" s="29"/>
      <c r="O500" s="29"/>
      <c r="P500" s="29"/>
      <c r="Q500" s="29"/>
      <c r="R500" s="29"/>
    </row>
    <row r="501" spans="13:18" ht="8.25" customHeight="1">
      <c r="M501" s="29"/>
      <c r="N501" s="29"/>
      <c r="O501" s="29"/>
      <c r="P501" s="29"/>
      <c r="Q501" s="29"/>
      <c r="R501" s="29"/>
    </row>
    <row r="502" spans="13:18" ht="8.25" customHeight="1">
      <c r="M502" s="29"/>
      <c r="N502" s="29"/>
      <c r="O502" s="29"/>
      <c r="P502" s="29"/>
      <c r="Q502" s="29"/>
      <c r="R502" s="29"/>
    </row>
    <row r="503" spans="13:18" ht="8.25" customHeight="1">
      <c r="M503" s="29"/>
      <c r="N503" s="29"/>
      <c r="O503" s="29"/>
      <c r="P503" s="29"/>
      <c r="Q503" s="29"/>
      <c r="R503" s="29"/>
    </row>
    <row r="504" spans="13:18" ht="8.25" customHeight="1">
      <c r="M504" s="29"/>
      <c r="N504" s="29"/>
      <c r="O504" s="29"/>
      <c r="P504" s="29"/>
      <c r="Q504" s="29"/>
      <c r="R504" s="29"/>
    </row>
    <row r="505" spans="13:18" ht="8.25" customHeight="1">
      <c r="M505" s="29"/>
      <c r="N505" s="29"/>
      <c r="O505" s="29"/>
      <c r="P505" s="29"/>
      <c r="Q505" s="29"/>
      <c r="R505" s="29"/>
    </row>
    <row r="506" spans="13:18" ht="8.25" customHeight="1">
      <c r="M506" s="29"/>
      <c r="N506" s="29"/>
      <c r="O506" s="29"/>
      <c r="P506" s="29"/>
      <c r="Q506" s="29"/>
      <c r="R506" s="29"/>
    </row>
    <row r="507" spans="13:18" ht="8.25" customHeight="1">
      <c r="M507" s="29"/>
      <c r="N507" s="29"/>
      <c r="O507" s="29"/>
      <c r="P507" s="29"/>
      <c r="Q507" s="29"/>
      <c r="R507" s="29"/>
    </row>
    <row r="508" spans="13:18" ht="8.25" customHeight="1">
      <c r="M508" s="29"/>
      <c r="N508" s="29"/>
      <c r="O508" s="29"/>
      <c r="P508" s="29"/>
      <c r="Q508" s="29"/>
      <c r="R508" s="29"/>
    </row>
    <row r="509" spans="13:18" ht="8.25" customHeight="1">
      <c r="M509" s="29"/>
      <c r="N509" s="29"/>
      <c r="O509" s="29"/>
      <c r="P509" s="29"/>
      <c r="Q509" s="29"/>
      <c r="R509" s="29"/>
    </row>
    <row r="510" spans="13:18" ht="8.25" customHeight="1">
      <c r="M510" s="29"/>
      <c r="N510" s="29"/>
      <c r="O510" s="29"/>
      <c r="P510" s="29"/>
      <c r="Q510" s="29"/>
      <c r="R510" s="29"/>
    </row>
    <row r="511" spans="13:18" ht="8.25" customHeight="1">
      <c r="M511" s="29"/>
      <c r="N511" s="29"/>
      <c r="O511" s="29"/>
      <c r="P511" s="29"/>
      <c r="Q511" s="29"/>
      <c r="R511" s="29"/>
    </row>
    <row r="512" spans="13:18" ht="8.25" customHeight="1">
      <c r="M512" s="29"/>
      <c r="N512" s="29"/>
      <c r="O512" s="29"/>
      <c r="P512" s="29"/>
      <c r="Q512" s="29"/>
      <c r="R512" s="29"/>
    </row>
    <row r="513" spans="13:18" ht="8.25" customHeight="1">
      <c r="M513" s="29"/>
      <c r="N513" s="29"/>
      <c r="O513" s="29"/>
      <c r="P513" s="29"/>
      <c r="Q513" s="29"/>
      <c r="R513" s="29"/>
    </row>
    <row r="514" spans="13:18" ht="8.25" customHeight="1">
      <c r="M514" s="29"/>
      <c r="N514" s="29"/>
      <c r="O514" s="29"/>
      <c r="P514" s="29"/>
      <c r="Q514" s="29"/>
      <c r="R514" s="29"/>
    </row>
    <row r="515" spans="13:18" ht="8.25" customHeight="1">
      <c r="M515" s="29"/>
      <c r="N515" s="29"/>
      <c r="O515" s="29"/>
      <c r="P515" s="29"/>
      <c r="Q515" s="29"/>
      <c r="R515" s="29"/>
    </row>
    <row r="516" spans="13:18" ht="8.25" customHeight="1">
      <c r="M516" s="29"/>
      <c r="N516" s="29"/>
      <c r="O516" s="29"/>
      <c r="P516" s="29"/>
      <c r="Q516" s="29"/>
      <c r="R516" s="29"/>
    </row>
    <row r="517" spans="13:18" ht="8.25" customHeight="1">
      <c r="M517" s="29"/>
      <c r="N517" s="29"/>
      <c r="O517" s="29"/>
      <c r="P517" s="29"/>
      <c r="Q517" s="29"/>
      <c r="R517" s="29"/>
    </row>
    <row r="518" spans="13:18" ht="8.25" customHeight="1">
      <c r="M518" s="29"/>
      <c r="N518" s="29"/>
      <c r="O518" s="29"/>
      <c r="P518" s="29"/>
      <c r="Q518" s="29"/>
      <c r="R518" s="29"/>
    </row>
    <row r="519" spans="13:18" ht="8.25" customHeight="1">
      <c r="M519" s="29"/>
      <c r="N519" s="29"/>
      <c r="O519" s="29"/>
      <c r="P519" s="29"/>
      <c r="Q519" s="29"/>
      <c r="R519" s="29"/>
    </row>
    <row r="520" spans="13:18" ht="8.25" customHeight="1">
      <c r="M520" s="29"/>
      <c r="N520" s="29"/>
      <c r="O520" s="29"/>
      <c r="P520" s="29"/>
      <c r="Q520" s="29"/>
      <c r="R520" s="29"/>
    </row>
    <row r="521" spans="13:18" ht="8.25" customHeight="1">
      <c r="M521" s="29"/>
      <c r="N521" s="29"/>
      <c r="O521" s="29"/>
      <c r="P521" s="29"/>
      <c r="Q521" s="29"/>
      <c r="R521" s="29"/>
    </row>
    <row r="522" spans="13:18" ht="8.25" customHeight="1">
      <c r="M522" s="29"/>
      <c r="N522" s="29"/>
      <c r="O522" s="29"/>
      <c r="P522" s="29"/>
      <c r="Q522" s="29"/>
      <c r="R522" s="29"/>
    </row>
    <row r="523" spans="13:18" ht="8.25" customHeight="1">
      <c r="M523" s="29"/>
      <c r="N523" s="29"/>
      <c r="O523" s="29"/>
      <c r="P523" s="29"/>
      <c r="Q523" s="29"/>
      <c r="R523" s="29"/>
    </row>
    <row r="524" spans="13:18" ht="8.25" customHeight="1">
      <c r="M524" s="29"/>
      <c r="N524" s="29"/>
      <c r="O524" s="29"/>
      <c r="P524" s="29"/>
      <c r="Q524" s="29"/>
      <c r="R524" s="29"/>
    </row>
    <row r="525" spans="13:18" ht="8.25" customHeight="1">
      <c r="M525" s="29"/>
      <c r="N525" s="29"/>
      <c r="O525" s="29"/>
      <c r="P525" s="29"/>
      <c r="Q525" s="29"/>
      <c r="R525" s="29"/>
    </row>
    <row r="526" spans="13:18" ht="8.25" customHeight="1">
      <c r="M526" s="29"/>
      <c r="N526" s="29"/>
      <c r="O526" s="29"/>
      <c r="P526" s="29"/>
      <c r="Q526" s="29"/>
      <c r="R526" s="29"/>
    </row>
    <row r="527" spans="13:18" ht="8.25" customHeight="1">
      <c r="M527" s="29"/>
      <c r="N527" s="29"/>
      <c r="O527" s="29"/>
      <c r="P527" s="29"/>
      <c r="Q527" s="29"/>
      <c r="R527" s="29"/>
    </row>
    <row r="528" spans="13:18" ht="8.25" customHeight="1">
      <c r="M528" s="29"/>
      <c r="N528" s="29"/>
      <c r="O528" s="29"/>
      <c r="P528" s="29"/>
      <c r="Q528" s="29"/>
      <c r="R528" s="29"/>
    </row>
    <row r="529" spans="13:18" ht="8.25" customHeight="1">
      <c r="M529" s="29"/>
      <c r="N529" s="29"/>
      <c r="O529" s="29"/>
      <c r="P529" s="29"/>
      <c r="Q529" s="29"/>
      <c r="R529" s="29"/>
    </row>
    <row r="530" spans="13:18" ht="8.25" customHeight="1">
      <c r="M530" s="29"/>
      <c r="N530" s="29"/>
      <c r="O530" s="29"/>
      <c r="P530" s="29"/>
      <c r="Q530" s="29"/>
      <c r="R530" s="29"/>
    </row>
    <row r="531" spans="13:18" ht="8.25" customHeight="1">
      <c r="M531" s="29"/>
      <c r="N531" s="29"/>
      <c r="O531" s="29"/>
      <c r="P531" s="29"/>
      <c r="Q531" s="29"/>
      <c r="R531" s="29"/>
    </row>
    <row r="532" spans="13:18" ht="8.25" customHeight="1">
      <c r="M532" s="29"/>
      <c r="N532" s="29"/>
      <c r="O532" s="29"/>
      <c r="P532" s="29"/>
      <c r="Q532" s="29"/>
      <c r="R532" s="29"/>
    </row>
    <row r="533" spans="13:18" ht="8.25" customHeight="1">
      <c r="M533" s="29"/>
      <c r="N533" s="29"/>
      <c r="O533" s="29"/>
      <c r="P533" s="29"/>
      <c r="Q533" s="29"/>
      <c r="R533" s="29"/>
    </row>
    <row r="534" spans="13:18" ht="8.25" customHeight="1">
      <c r="M534" s="29"/>
      <c r="N534" s="29"/>
      <c r="O534" s="29"/>
      <c r="P534" s="29"/>
      <c r="Q534" s="29"/>
      <c r="R534" s="29"/>
    </row>
    <row r="535" spans="13:18" ht="8.25" customHeight="1">
      <c r="M535" s="29"/>
      <c r="N535" s="29"/>
      <c r="O535" s="29"/>
      <c r="P535" s="29"/>
      <c r="Q535" s="29"/>
      <c r="R535" s="29"/>
    </row>
    <row r="536" spans="13:18" ht="8.25" customHeight="1">
      <c r="M536" s="29"/>
      <c r="N536" s="29"/>
      <c r="O536" s="29"/>
      <c r="P536" s="29"/>
      <c r="Q536" s="29"/>
      <c r="R536" s="29"/>
    </row>
    <row r="537" spans="13:18" ht="8.25" customHeight="1">
      <c r="M537" s="29"/>
      <c r="N537" s="29"/>
      <c r="O537" s="29"/>
      <c r="P537" s="29"/>
      <c r="Q537" s="29"/>
      <c r="R537" s="29"/>
    </row>
    <row r="538" spans="13:18" ht="8.25" customHeight="1">
      <c r="M538" s="29"/>
      <c r="N538" s="29"/>
      <c r="O538" s="29"/>
      <c r="P538" s="29"/>
      <c r="Q538" s="29"/>
      <c r="R538" s="29"/>
    </row>
    <row r="539" spans="13:18" ht="8.25" customHeight="1">
      <c r="M539" s="29"/>
      <c r="N539" s="29"/>
      <c r="O539" s="29"/>
      <c r="P539" s="29"/>
      <c r="Q539" s="29"/>
      <c r="R539" s="29"/>
    </row>
    <row r="540" spans="13:18" ht="8.25" customHeight="1">
      <c r="M540" s="29"/>
      <c r="N540" s="29"/>
      <c r="O540" s="29"/>
      <c r="P540" s="29"/>
      <c r="Q540" s="29"/>
      <c r="R540" s="29"/>
    </row>
    <row r="541" spans="13:18" ht="8.25" customHeight="1">
      <c r="M541" s="29"/>
      <c r="N541" s="29"/>
      <c r="O541" s="29"/>
      <c r="P541" s="29"/>
      <c r="Q541" s="29"/>
      <c r="R541" s="29"/>
    </row>
    <row r="542" spans="13:18" ht="8.25" customHeight="1">
      <c r="M542" s="29"/>
      <c r="N542" s="29"/>
      <c r="O542" s="29"/>
      <c r="P542" s="29"/>
      <c r="Q542" s="29"/>
      <c r="R542" s="29"/>
    </row>
    <row r="543" spans="13:18" ht="8.25" customHeight="1">
      <c r="M543" s="29"/>
      <c r="N543" s="29"/>
      <c r="O543" s="29"/>
      <c r="P543" s="29"/>
      <c r="Q543" s="29"/>
      <c r="R543" s="29"/>
    </row>
    <row r="544" spans="13:18" ht="8.25" customHeight="1">
      <c r="M544" s="29"/>
      <c r="N544" s="29"/>
      <c r="O544" s="29"/>
      <c r="P544" s="29"/>
      <c r="Q544" s="29"/>
      <c r="R544" s="29"/>
    </row>
    <row r="545" spans="13:18" ht="8.25" customHeight="1">
      <c r="M545" s="29"/>
      <c r="N545" s="29"/>
      <c r="O545" s="29"/>
      <c r="P545" s="29"/>
      <c r="Q545" s="29"/>
      <c r="R545" s="29"/>
    </row>
    <row r="546" spans="13:18" ht="8.25" customHeight="1">
      <c r="M546" s="29"/>
      <c r="N546" s="29"/>
      <c r="O546" s="29"/>
      <c r="P546" s="29"/>
      <c r="Q546" s="29"/>
      <c r="R546" s="29"/>
    </row>
    <row r="547" spans="13:18" ht="8.25" customHeight="1">
      <c r="M547" s="29"/>
      <c r="N547" s="29"/>
      <c r="O547" s="29"/>
      <c r="P547" s="29"/>
      <c r="Q547" s="29"/>
      <c r="R547" s="29"/>
    </row>
    <row r="548" spans="13:18" ht="8.25" customHeight="1">
      <c r="M548" s="29"/>
      <c r="N548" s="29"/>
      <c r="O548" s="29"/>
      <c r="P548" s="29"/>
      <c r="Q548" s="29"/>
      <c r="R548" s="29"/>
    </row>
    <row r="549" spans="13:18" ht="8.25" customHeight="1">
      <c r="M549" s="29"/>
      <c r="N549" s="29"/>
      <c r="O549" s="29"/>
      <c r="P549" s="29"/>
      <c r="Q549" s="29"/>
      <c r="R549" s="29"/>
    </row>
    <row r="550" spans="13:18" ht="8.25" customHeight="1">
      <c r="M550" s="29"/>
      <c r="N550" s="29"/>
      <c r="O550" s="29"/>
      <c r="P550" s="29"/>
      <c r="Q550" s="29"/>
      <c r="R550" s="29"/>
    </row>
    <row r="551" spans="13:18" ht="8.25" customHeight="1">
      <c r="M551" s="29"/>
      <c r="N551" s="29"/>
      <c r="O551" s="29"/>
      <c r="P551" s="29"/>
      <c r="Q551" s="29"/>
      <c r="R551" s="29"/>
    </row>
    <row r="552" spans="13:18" ht="8.25" customHeight="1">
      <c r="M552" s="29"/>
      <c r="N552" s="29"/>
      <c r="O552" s="29"/>
      <c r="P552" s="29"/>
      <c r="Q552" s="29"/>
      <c r="R552" s="29"/>
    </row>
    <row r="553" spans="13:18" ht="8.25" customHeight="1">
      <c r="M553" s="29"/>
      <c r="N553" s="29"/>
      <c r="O553" s="29"/>
      <c r="P553" s="29"/>
      <c r="Q553" s="29"/>
      <c r="R553" s="29"/>
    </row>
    <row r="554" spans="13:18" ht="8.25" customHeight="1">
      <c r="M554" s="29"/>
      <c r="N554" s="29"/>
      <c r="O554" s="29"/>
      <c r="P554" s="29"/>
      <c r="Q554" s="29"/>
      <c r="R554" s="29"/>
    </row>
    <row r="555" spans="13:18" ht="8.25" customHeight="1">
      <c r="M555" s="29"/>
      <c r="N555" s="29"/>
      <c r="O555" s="29"/>
      <c r="P555" s="29"/>
      <c r="Q555" s="29"/>
      <c r="R555" s="29"/>
    </row>
    <row r="556" spans="13:18" ht="8.25" customHeight="1">
      <c r="M556" s="29"/>
      <c r="N556" s="29"/>
      <c r="O556" s="29"/>
      <c r="P556" s="29"/>
      <c r="Q556" s="29"/>
      <c r="R556" s="29"/>
    </row>
    <row r="557" spans="13:18" ht="8.25" customHeight="1">
      <c r="M557" s="29"/>
      <c r="N557" s="29"/>
      <c r="O557" s="29"/>
      <c r="P557" s="29"/>
      <c r="Q557" s="29"/>
      <c r="R557" s="29"/>
    </row>
    <row r="558" spans="13:18" ht="8.25" customHeight="1">
      <c r="M558" s="29"/>
      <c r="N558" s="29"/>
      <c r="O558" s="29"/>
      <c r="P558" s="29"/>
      <c r="Q558" s="29"/>
      <c r="R558" s="29"/>
    </row>
    <row r="559" spans="13:18" ht="8.25" customHeight="1">
      <c r="M559" s="29"/>
      <c r="N559" s="29"/>
      <c r="O559" s="29"/>
      <c r="P559" s="29"/>
      <c r="Q559" s="29"/>
      <c r="R559" s="29"/>
    </row>
    <row r="560" spans="13:18" ht="8.25" customHeight="1">
      <c r="M560" s="29"/>
      <c r="N560" s="29"/>
      <c r="O560" s="29"/>
      <c r="P560" s="29"/>
      <c r="Q560" s="29"/>
      <c r="R560" s="29"/>
    </row>
    <row r="561" spans="13:18" ht="8.25" customHeight="1">
      <c r="M561" s="29"/>
      <c r="N561" s="29"/>
      <c r="O561" s="29"/>
      <c r="P561" s="29"/>
      <c r="Q561" s="29"/>
      <c r="R561" s="29"/>
    </row>
    <row r="562" spans="13:18" ht="8.25" customHeight="1">
      <c r="M562" s="29"/>
      <c r="N562" s="29"/>
      <c r="O562" s="29"/>
      <c r="P562" s="29"/>
      <c r="Q562" s="29"/>
      <c r="R562" s="29"/>
    </row>
    <row r="563" spans="13:18" ht="8.25" customHeight="1">
      <c r="M563" s="29"/>
      <c r="N563" s="29"/>
      <c r="O563" s="29"/>
      <c r="P563" s="29"/>
      <c r="Q563" s="29"/>
      <c r="R563" s="29"/>
    </row>
    <row r="564" spans="13:18" ht="8.25" customHeight="1">
      <c r="M564" s="29"/>
      <c r="N564" s="29"/>
      <c r="O564" s="29"/>
      <c r="P564" s="29"/>
      <c r="Q564" s="29"/>
      <c r="R564" s="29"/>
    </row>
    <row r="565" spans="13:18" ht="8.25" customHeight="1">
      <c r="M565" s="29"/>
      <c r="N565" s="29"/>
      <c r="O565" s="29"/>
      <c r="P565" s="29"/>
      <c r="Q565" s="29"/>
      <c r="R565" s="29"/>
    </row>
    <row r="566" spans="13:18" ht="8.25" customHeight="1">
      <c r="M566" s="29"/>
      <c r="N566" s="29"/>
      <c r="O566" s="29"/>
      <c r="P566" s="29"/>
      <c r="Q566" s="29"/>
      <c r="R566" s="29"/>
    </row>
    <row r="567" spans="13:18" ht="8.25" customHeight="1">
      <c r="M567" s="29"/>
      <c r="N567" s="29"/>
      <c r="O567" s="29"/>
      <c r="P567" s="29"/>
      <c r="Q567" s="29"/>
      <c r="R567" s="29"/>
    </row>
    <row r="568" spans="13:18" ht="8.25" customHeight="1">
      <c r="M568" s="29"/>
      <c r="N568" s="29"/>
      <c r="O568" s="29"/>
      <c r="P568" s="29"/>
      <c r="Q568" s="29"/>
      <c r="R568" s="29"/>
    </row>
    <row r="569" spans="13:18" ht="8.25" customHeight="1">
      <c r="M569" s="29"/>
      <c r="N569" s="29"/>
      <c r="O569" s="29"/>
      <c r="P569" s="29"/>
      <c r="Q569" s="29"/>
      <c r="R569" s="29"/>
    </row>
    <row r="570" spans="13:18" ht="8.25" customHeight="1">
      <c r="M570" s="29"/>
      <c r="N570" s="29"/>
      <c r="O570" s="29"/>
      <c r="P570" s="29"/>
      <c r="Q570" s="29"/>
      <c r="R570" s="29"/>
    </row>
    <row r="571" spans="13:18" ht="8.25" customHeight="1">
      <c r="M571" s="29"/>
      <c r="N571" s="29"/>
      <c r="O571" s="29"/>
      <c r="P571" s="29"/>
      <c r="Q571" s="29"/>
      <c r="R571" s="29"/>
    </row>
    <row r="572" spans="13:18" ht="8.25" customHeight="1">
      <c r="M572" s="29"/>
      <c r="N572" s="29"/>
      <c r="O572" s="29"/>
      <c r="P572" s="29"/>
      <c r="Q572" s="29"/>
      <c r="R572" s="29"/>
    </row>
    <row r="573" spans="13:18" ht="8.25" customHeight="1">
      <c r="M573" s="29"/>
      <c r="N573" s="29"/>
      <c r="O573" s="29"/>
      <c r="P573" s="29"/>
      <c r="Q573" s="29"/>
      <c r="R573" s="29"/>
    </row>
    <row r="574" spans="13:18" ht="8.25" customHeight="1">
      <c r="M574" s="29"/>
      <c r="N574" s="29"/>
      <c r="O574" s="29"/>
      <c r="P574" s="29"/>
      <c r="Q574" s="29"/>
      <c r="R574" s="29"/>
    </row>
    <row r="575" spans="13:18" ht="8.25" customHeight="1">
      <c r="M575" s="29"/>
      <c r="N575" s="29"/>
      <c r="O575" s="29"/>
      <c r="P575" s="29"/>
      <c r="Q575" s="29"/>
      <c r="R575" s="29"/>
    </row>
    <row r="576" spans="13:18" ht="8.25" customHeight="1">
      <c r="M576" s="29"/>
      <c r="N576" s="29"/>
      <c r="O576" s="29"/>
      <c r="P576" s="29"/>
      <c r="Q576" s="29"/>
      <c r="R576" s="29"/>
    </row>
    <row r="577" spans="13:18" ht="8.25" customHeight="1">
      <c r="M577" s="29"/>
      <c r="N577" s="29"/>
      <c r="O577" s="29"/>
      <c r="P577" s="29"/>
      <c r="Q577" s="29"/>
      <c r="R577" s="29"/>
    </row>
    <row r="578" spans="13:18" ht="8.25" customHeight="1">
      <c r="M578" s="29"/>
      <c r="N578" s="29"/>
      <c r="O578" s="29"/>
      <c r="P578" s="29"/>
      <c r="Q578" s="29"/>
      <c r="R578" s="29"/>
    </row>
    <row r="579" spans="13:18" ht="8.25" customHeight="1">
      <c r="M579" s="29"/>
      <c r="N579" s="29"/>
      <c r="O579" s="29"/>
      <c r="P579" s="29"/>
      <c r="Q579" s="29"/>
      <c r="R579" s="29"/>
    </row>
    <row r="580" spans="13:18" ht="8.25" customHeight="1">
      <c r="M580" s="29"/>
      <c r="N580" s="29"/>
      <c r="O580" s="29"/>
      <c r="P580" s="29"/>
      <c r="Q580" s="29"/>
      <c r="R580" s="29"/>
    </row>
    <row r="581" spans="13:18" ht="8.25" customHeight="1">
      <c r="M581" s="29"/>
      <c r="N581" s="29"/>
      <c r="O581" s="29"/>
      <c r="P581" s="29"/>
      <c r="Q581" s="29"/>
      <c r="R581" s="29"/>
    </row>
    <row r="582" spans="13:18" ht="8.25" customHeight="1">
      <c r="M582" s="29"/>
      <c r="N582" s="29"/>
      <c r="O582" s="29"/>
      <c r="P582" s="29"/>
      <c r="Q582" s="29"/>
      <c r="R582" s="29"/>
    </row>
    <row r="583" spans="13:18" ht="8.25" customHeight="1">
      <c r="M583" s="29"/>
      <c r="N583" s="29"/>
      <c r="O583" s="29"/>
      <c r="P583" s="29"/>
      <c r="Q583" s="29"/>
      <c r="R583" s="29"/>
    </row>
    <row r="584" spans="13:18" ht="8.25" customHeight="1">
      <c r="M584" s="29"/>
      <c r="N584" s="29"/>
      <c r="O584" s="29"/>
      <c r="P584" s="29"/>
      <c r="Q584" s="29"/>
      <c r="R584" s="29"/>
    </row>
    <row r="585" spans="13:18" ht="8.25" customHeight="1">
      <c r="M585" s="29"/>
      <c r="N585" s="29"/>
      <c r="O585" s="29"/>
      <c r="P585" s="29"/>
      <c r="Q585" s="29"/>
      <c r="R585" s="29"/>
    </row>
    <row r="586" spans="13:18" ht="8.25" customHeight="1">
      <c r="M586" s="29"/>
      <c r="N586" s="29"/>
      <c r="O586" s="29"/>
      <c r="P586" s="29"/>
      <c r="Q586" s="29"/>
      <c r="R586" s="29"/>
    </row>
    <row r="587" spans="13:18" ht="8.25" customHeight="1">
      <c r="M587" s="29"/>
      <c r="N587" s="29"/>
      <c r="O587" s="29"/>
      <c r="P587" s="29"/>
      <c r="Q587" s="29"/>
      <c r="R587" s="29"/>
    </row>
    <row r="588" spans="13:18" ht="8.25" customHeight="1">
      <c r="M588" s="29"/>
      <c r="N588" s="29"/>
      <c r="O588" s="29"/>
      <c r="P588" s="29"/>
      <c r="Q588" s="29"/>
      <c r="R588" s="29"/>
    </row>
    <row r="589" spans="13:18" ht="8.25" customHeight="1">
      <c r="M589" s="29"/>
      <c r="N589" s="29"/>
      <c r="O589" s="29"/>
      <c r="P589" s="29"/>
      <c r="Q589" s="29"/>
      <c r="R589" s="29"/>
    </row>
    <row r="590" spans="13:18" ht="8.25" customHeight="1">
      <c r="M590" s="29"/>
      <c r="N590" s="29"/>
      <c r="O590" s="29"/>
      <c r="P590" s="29"/>
      <c r="Q590" s="29"/>
      <c r="R590" s="29"/>
    </row>
    <row r="591" spans="13:18" ht="8.25" customHeight="1">
      <c r="M591" s="29"/>
      <c r="N591" s="29"/>
      <c r="O591" s="29"/>
      <c r="P591" s="29"/>
      <c r="Q591" s="29"/>
      <c r="R591" s="29"/>
    </row>
    <row r="592" spans="13:18" ht="8.25" customHeight="1">
      <c r="M592" s="29"/>
      <c r="N592" s="29"/>
      <c r="O592" s="29"/>
      <c r="P592" s="29"/>
      <c r="Q592" s="29"/>
      <c r="R592" s="29"/>
    </row>
    <row r="593" spans="13:18" ht="8.25" customHeight="1">
      <c r="M593" s="29"/>
      <c r="N593" s="29"/>
      <c r="O593" s="29"/>
      <c r="P593" s="29"/>
      <c r="Q593" s="29"/>
      <c r="R593" s="29"/>
    </row>
    <row r="594" spans="13:18" ht="8.25" customHeight="1">
      <c r="M594" s="29"/>
      <c r="N594" s="29"/>
      <c r="O594" s="29"/>
      <c r="P594" s="29"/>
      <c r="Q594" s="29"/>
      <c r="R594" s="29"/>
    </row>
    <row r="595" spans="13:18" ht="8.25" customHeight="1">
      <c r="M595" s="29"/>
      <c r="N595" s="29"/>
      <c r="O595" s="29"/>
      <c r="P595" s="29"/>
      <c r="Q595" s="29"/>
      <c r="R595" s="29"/>
    </row>
    <row r="596" spans="13:18" ht="8.25" customHeight="1">
      <c r="M596" s="29"/>
      <c r="N596" s="29"/>
      <c r="O596" s="29"/>
      <c r="P596" s="29"/>
      <c r="Q596" s="29"/>
      <c r="R596" s="29"/>
    </row>
    <row r="597" spans="13:18" ht="8.25" customHeight="1">
      <c r="M597" s="29"/>
      <c r="N597" s="29"/>
      <c r="O597" s="29"/>
      <c r="P597" s="29"/>
      <c r="Q597" s="29"/>
      <c r="R597" s="29"/>
    </row>
    <row r="598" spans="13:18" ht="8.25" customHeight="1">
      <c r="M598" s="29"/>
      <c r="N598" s="29"/>
      <c r="O598" s="29"/>
      <c r="P598" s="29"/>
      <c r="Q598" s="29"/>
      <c r="R598" s="29"/>
    </row>
    <row r="599" spans="13:18" ht="8.25" customHeight="1">
      <c r="M599" s="29"/>
      <c r="N599" s="29"/>
      <c r="O599" s="29"/>
      <c r="P599" s="29"/>
      <c r="Q599" s="29"/>
      <c r="R599" s="29"/>
    </row>
    <row r="600" spans="13:18" ht="8.25" customHeight="1">
      <c r="M600" s="29"/>
      <c r="N600" s="29"/>
      <c r="O600" s="29"/>
      <c r="P600" s="29"/>
      <c r="Q600" s="29"/>
      <c r="R600" s="29"/>
    </row>
    <row r="601" spans="13:18" ht="8.25" customHeight="1">
      <c r="M601" s="29"/>
      <c r="N601" s="29"/>
      <c r="O601" s="29"/>
      <c r="P601" s="29"/>
      <c r="Q601" s="29"/>
      <c r="R601" s="29"/>
    </row>
    <row r="602" spans="13:18" ht="8.25" customHeight="1">
      <c r="M602" s="29"/>
      <c r="N602" s="29"/>
      <c r="O602" s="29"/>
      <c r="P602" s="29"/>
      <c r="Q602" s="29"/>
      <c r="R602" s="29"/>
    </row>
    <row r="603" spans="13:18" ht="8.25" customHeight="1">
      <c r="M603" s="29"/>
      <c r="N603" s="29"/>
      <c r="O603" s="29"/>
      <c r="P603" s="29"/>
      <c r="Q603" s="29"/>
      <c r="R603" s="29"/>
    </row>
    <row r="604" spans="13:18" ht="8.25" customHeight="1">
      <c r="M604" s="29"/>
      <c r="N604" s="29"/>
      <c r="O604" s="29"/>
      <c r="P604" s="29"/>
      <c r="Q604" s="29"/>
      <c r="R604" s="29"/>
    </row>
    <row r="605" spans="13:18" ht="8.25" customHeight="1">
      <c r="M605" s="29"/>
      <c r="N605" s="29"/>
      <c r="O605" s="29"/>
      <c r="P605" s="29"/>
      <c r="Q605" s="29"/>
      <c r="R605" s="29"/>
    </row>
    <row r="606" spans="13:18" ht="8.25" customHeight="1">
      <c r="M606" s="29"/>
      <c r="N606" s="29"/>
      <c r="O606" s="29"/>
      <c r="P606" s="29"/>
      <c r="Q606" s="29"/>
      <c r="R606" s="29"/>
    </row>
    <row r="607" spans="13:18" ht="8.25" customHeight="1">
      <c r="M607" s="29"/>
      <c r="N607" s="29"/>
      <c r="O607" s="29"/>
      <c r="P607" s="29"/>
      <c r="Q607" s="29"/>
      <c r="R607" s="29"/>
    </row>
    <row r="608" spans="13:18" ht="8.25" customHeight="1">
      <c r="M608" s="29"/>
      <c r="N608" s="29"/>
      <c r="O608" s="29"/>
      <c r="P608" s="29"/>
      <c r="Q608" s="29"/>
      <c r="R608" s="29"/>
    </row>
    <row r="609" spans="13:18" ht="8.25" customHeight="1">
      <c r="M609" s="29"/>
      <c r="N609" s="29"/>
      <c r="O609" s="29"/>
      <c r="P609" s="29"/>
      <c r="Q609" s="29"/>
      <c r="R609" s="29"/>
    </row>
    <row r="610" spans="13:18" ht="8.25" customHeight="1">
      <c r="M610" s="29"/>
      <c r="N610" s="29"/>
      <c r="O610" s="29"/>
      <c r="P610" s="29"/>
      <c r="Q610" s="29"/>
      <c r="R610" s="29"/>
    </row>
    <row r="611" spans="13:18" ht="8.25" customHeight="1">
      <c r="M611" s="29"/>
      <c r="N611" s="29"/>
      <c r="O611" s="29"/>
      <c r="P611" s="29"/>
      <c r="Q611" s="29"/>
      <c r="R611" s="29"/>
    </row>
    <row r="612" spans="13:18" ht="8.25" customHeight="1">
      <c r="M612" s="29"/>
      <c r="N612" s="29"/>
      <c r="O612" s="29"/>
      <c r="P612" s="29"/>
      <c r="Q612" s="29"/>
      <c r="R612" s="29"/>
    </row>
    <row r="613" spans="13:18" ht="8.25" customHeight="1">
      <c r="M613" s="29"/>
      <c r="N613" s="29"/>
      <c r="O613" s="29"/>
      <c r="P613" s="29"/>
      <c r="Q613" s="29"/>
      <c r="R613" s="29"/>
    </row>
    <row r="614" spans="13:18" ht="8.25" customHeight="1">
      <c r="M614" s="29"/>
      <c r="N614" s="29"/>
      <c r="O614" s="29"/>
      <c r="P614" s="29"/>
      <c r="Q614" s="29"/>
      <c r="R614" s="29"/>
    </row>
    <row r="615" spans="13:18" ht="8.25" customHeight="1">
      <c r="M615" s="29"/>
      <c r="N615" s="29"/>
      <c r="O615" s="29"/>
      <c r="P615" s="29"/>
      <c r="Q615" s="29"/>
      <c r="R615" s="29"/>
    </row>
    <row r="616" spans="13:18" ht="8.25" customHeight="1">
      <c r="M616" s="29"/>
      <c r="N616" s="29"/>
      <c r="O616" s="29"/>
      <c r="P616" s="29"/>
      <c r="Q616" s="29"/>
      <c r="R616" s="29"/>
    </row>
    <row r="617" spans="13:18" ht="8.25" customHeight="1">
      <c r="M617" s="29"/>
      <c r="N617" s="29"/>
      <c r="O617" s="29"/>
      <c r="P617" s="29"/>
      <c r="Q617" s="29"/>
      <c r="R617" s="29"/>
    </row>
    <row r="618" spans="13:18" ht="8.25" customHeight="1">
      <c r="M618" s="29"/>
      <c r="N618" s="29"/>
      <c r="O618" s="29"/>
      <c r="P618" s="29"/>
      <c r="Q618" s="29"/>
      <c r="R618" s="29"/>
    </row>
    <row r="619" spans="13:18" ht="8.25" customHeight="1">
      <c r="M619" s="29"/>
      <c r="N619" s="29"/>
      <c r="O619" s="29"/>
      <c r="P619" s="29"/>
      <c r="Q619" s="29"/>
      <c r="R619" s="29"/>
    </row>
    <row r="620" spans="13:18" ht="8.25" customHeight="1">
      <c r="M620" s="29"/>
      <c r="N620" s="29"/>
      <c r="O620" s="29"/>
      <c r="P620" s="29"/>
      <c r="Q620" s="29"/>
      <c r="R620" s="29"/>
    </row>
    <row r="621" spans="13:18" ht="8.25" customHeight="1">
      <c r="M621" s="29"/>
      <c r="N621" s="29"/>
      <c r="O621" s="29"/>
      <c r="P621" s="29"/>
      <c r="Q621" s="29"/>
      <c r="R621" s="29"/>
    </row>
    <row r="622" spans="13:18" ht="8.25" customHeight="1">
      <c r="M622" s="29"/>
      <c r="N622" s="29"/>
      <c r="O622" s="29"/>
      <c r="P622" s="29"/>
      <c r="Q622" s="29"/>
      <c r="R622" s="29"/>
    </row>
    <row r="623" spans="13:18" ht="8.25" customHeight="1">
      <c r="M623" s="29"/>
      <c r="N623" s="29"/>
      <c r="O623" s="29"/>
      <c r="P623" s="29"/>
      <c r="Q623" s="29"/>
      <c r="R623" s="29"/>
    </row>
    <row r="624" spans="13:18" ht="8.25" customHeight="1">
      <c r="M624" s="29"/>
      <c r="N624" s="29"/>
      <c r="O624" s="29"/>
      <c r="P624" s="29"/>
      <c r="Q624" s="29"/>
      <c r="R624" s="29"/>
    </row>
    <row r="625" spans="13:18" ht="8.25" customHeight="1">
      <c r="M625" s="29"/>
      <c r="N625" s="29"/>
      <c r="O625" s="29"/>
      <c r="P625" s="29"/>
      <c r="Q625" s="29"/>
      <c r="R625" s="29"/>
    </row>
    <row r="626" spans="13:18" ht="8.25" customHeight="1">
      <c r="M626" s="29"/>
      <c r="N626" s="29"/>
      <c r="O626" s="29"/>
      <c r="P626" s="29"/>
      <c r="Q626" s="29"/>
      <c r="R626" s="29"/>
    </row>
    <row r="627" spans="13:18" ht="8.25" customHeight="1">
      <c r="M627" s="29"/>
      <c r="N627" s="29"/>
      <c r="O627" s="29"/>
      <c r="P627" s="29"/>
      <c r="Q627" s="29"/>
      <c r="R627" s="29"/>
    </row>
    <row r="628" spans="13:18" ht="8.25" customHeight="1">
      <c r="M628" s="29"/>
      <c r="N628" s="29"/>
      <c r="O628" s="29"/>
      <c r="P628" s="29"/>
      <c r="Q628" s="29"/>
      <c r="R628" s="29"/>
    </row>
    <row r="629" spans="13:18" ht="8.25" customHeight="1">
      <c r="M629" s="29"/>
      <c r="N629" s="29"/>
      <c r="O629" s="29"/>
      <c r="P629" s="29"/>
      <c r="Q629" s="29"/>
      <c r="R629" s="29"/>
    </row>
    <row r="630" spans="13:18" ht="8.25" customHeight="1">
      <c r="M630" s="29"/>
      <c r="N630" s="29"/>
      <c r="O630" s="29"/>
      <c r="P630" s="29"/>
      <c r="Q630" s="29"/>
      <c r="R630" s="29"/>
    </row>
    <row r="631" spans="13:18" ht="8.25" customHeight="1">
      <c r="M631" s="29"/>
      <c r="N631" s="29"/>
      <c r="O631" s="29"/>
      <c r="P631" s="29"/>
      <c r="Q631" s="29"/>
      <c r="R631" s="29"/>
    </row>
    <row r="632" spans="13:18" ht="8.25" customHeight="1">
      <c r="M632" s="29"/>
      <c r="N632" s="29"/>
      <c r="O632" s="29"/>
      <c r="P632" s="29"/>
      <c r="Q632" s="29"/>
      <c r="R632" s="29"/>
    </row>
    <row r="633" spans="13:18" ht="8.25" customHeight="1">
      <c r="M633" s="29"/>
      <c r="N633" s="29"/>
      <c r="O633" s="29"/>
      <c r="P633" s="29"/>
      <c r="Q633" s="29"/>
      <c r="R633" s="29"/>
    </row>
    <row r="634" spans="13:18" ht="8.25" customHeight="1">
      <c r="M634" s="29"/>
      <c r="N634" s="29"/>
      <c r="O634" s="29"/>
      <c r="P634" s="29"/>
      <c r="Q634" s="29"/>
      <c r="R634" s="29"/>
    </row>
    <row r="635" spans="13:18" ht="8.25" customHeight="1">
      <c r="M635" s="29"/>
      <c r="N635" s="29"/>
      <c r="O635" s="29"/>
      <c r="P635" s="29"/>
      <c r="Q635" s="29"/>
      <c r="R635" s="29"/>
    </row>
    <row r="636" spans="13:18" ht="8.25" customHeight="1">
      <c r="M636" s="29"/>
      <c r="N636" s="29"/>
      <c r="O636" s="29"/>
      <c r="P636" s="29"/>
      <c r="Q636" s="29"/>
      <c r="R636" s="29"/>
    </row>
    <row r="637" spans="13:18" ht="8.25" customHeight="1">
      <c r="M637" s="29"/>
      <c r="N637" s="29"/>
      <c r="O637" s="29"/>
      <c r="P637" s="29"/>
      <c r="Q637" s="29"/>
      <c r="R637" s="29"/>
    </row>
    <row r="638" spans="13:18" ht="8.25" customHeight="1">
      <c r="M638" s="29"/>
      <c r="N638" s="29"/>
      <c r="O638" s="29"/>
      <c r="P638" s="29"/>
      <c r="Q638" s="29"/>
      <c r="R638" s="29"/>
    </row>
    <row r="639" spans="13:18" ht="8.25" customHeight="1">
      <c r="M639" s="29"/>
      <c r="N639" s="29"/>
      <c r="O639" s="29"/>
      <c r="P639" s="29"/>
      <c r="Q639" s="29"/>
      <c r="R639" s="29"/>
    </row>
    <row r="640" spans="13:18" ht="8.25" customHeight="1">
      <c r="M640" s="29"/>
      <c r="N640" s="29"/>
      <c r="O640" s="29"/>
      <c r="P640" s="29"/>
      <c r="Q640" s="29"/>
      <c r="R640" s="29"/>
    </row>
    <row r="641" spans="13:18" ht="8.25" customHeight="1">
      <c r="M641" s="29"/>
      <c r="N641" s="29"/>
      <c r="O641" s="29"/>
      <c r="P641" s="29"/>
      <c r="Q641" s="29"/>
      <c r="R641" s="29"/>
    </row>
    <row r="642" spans="13:18" ht="8.25" customHeight="1">
      <c r="M642" s="29"/>
      <c r="N642" s="29"/>
      <c r="O642" s="29"/>
      <c r="P642" s="29"/>
      <c r="Q642" s="29"/>
      <c r="R642" s="29"/>
    </row>
    <row r="643" spans="13:18" ht="8.25" customHeight="1">
      <c r="M643" s="29"/>
      <c r="N643" s="29"/>
      <c r="O643" s="29"/>
      <c r="P643" s="29"/>
      <c r="Q643" s="29"/>
      <c r="R643" s="29"/>
    </row>
    <row r="644" spans="13:18" ht="8.25" customHeight="1">
      <c r="M644" s="29"/>
      <c r="N644" s="29"/>
      <c r="O644" s="29"/>
      <c r="P644" s="29"/>
      <c r="Q644" s="29"/>
      <c r="R644" s="29"/>
    </row>
    <row r="645" spans="13:18" ht="8.25" customHeight="1">
      <c r="M645" s="29"/>
      <c r="N645" s="29"/>
      <c r="O645" s="29"/>
      <c r="P645" s="29"/>
      <c r="Q645" s="29"/>
      <c r="R645" s="29"/>
    </row>
    <row r="646" spans="13:18" ht="8.25" customHeight="1">
      <c r="M646" s="29"/>
      <c r="N646" s="29"/>
      <c r="O646" s="29"/>
      <c r="P646" s="29"/>
      <c r="Q646" s="29"/>
      <c r="R646" s="29"/>
    </row>
    <row r="647" spans="13:18" ht="8.25" customHeight="1">
      <c r="M647" s="29"/>
      <c r="N647" s="29"/>
      <c r="O647" s="29"/>
      <c r="P647" s="29"/>
      <c r="Q647" s="29"/>
      <c r="R647" s="29"/>
    </row>
    <row r="648" spans="13:18" ht="8.25" customHeight="1">
      <c r="M648" s="29"/>
      <c r="N648" s="29"/>
      <c r="O648" s="29"/>
      <c r="P648" s="29"/>
      <c r="Q648" s="29"/>
      <c r="R648" s="29"/>
    </row>
    <row r="649" spans="13:18" ht="8.25" customHeight="1">
      <c r="M649" s="29"/>
      <c r="N649" s="29"/>
      <c r="O649" s="29"/>
      <c r="P649" s="29"/>
      <c r="Q649" s="29"/>
      <c r="R649" s="29"/>
    </row>
    <row r="650" spans="13:18" ht="8.25" customHeight="1">
      <c r="M650" s="29"/>
      <c r="N650" s="29"/>
      <c r="O650" s="29"/>
      <c r="P650" s="29"/>
      <c r="Q650" s="29"/>
      <c r="R650" s="29"/>
    </row>
    <row r="651" spans="13:18" ht="8.25" customHeight="1">
      <c r="M651" s="29"/>
      <c r="N651" s="29"/>
      <c r="O651" s="29"/>
      <c r="P651" s="29"/>
      <c r="Q651" s="29"/>
      <c r="R651" s="29"/>
    </row>
    <row r="652" spans="13:18" ht="8.25" customHeight="1">
      <c r="M652" s="29"/>
      <c r="N652" s="29"/>
      <c r="O652" s="29"/>
      <c r="P652" s="29"/>
      <c r="Q652" s="29"/>
      <c r="R652" s="29"/>
    </row>
    <row r="653" spans="13:18" ht="8.25" customHeight="1">
      <c r="M653" s="29"/>
      <c r="N653" s="29"/>
      <c r="O653" s="29"/>
      <c r="P653" s="29"/>
      <c r="Q653" s="29"/>
      <c r="R653" s="29"/>
    </row>
    <row r="654" spans="13:18" ht="8.25" customHeight="1">
      <c r="M654" s="29"/>
      <c r="N654" s="29"/>
      <c r="O654" s="29"/>
      <c r="P654" s="29"/>
      <c r="Q654" s="29"/>
      <c r="R654" s="29"/>
    </row>
    <row r="655" spans="13:18" ht="8.25" customHeight="1">
      <c r="M655" s="29"/>
      <c r="N655" s="29"/>
      <c r="O655" s="29"/>
      <c r="P655" s="29"/>
      <c r="Q655" s="29"/>
      <c r="R655" s="29"/>
    </row>
    <row r="656" spans="13:18" ht="8.25" customHeight="1">
      <c r="M656" s="29"/>
      <c r="N656" s="29"/>
      <c r="O656" s="29"/>
      <c r="P656" s="29"/>
      <c r="Q656" s="29"/>
      <c r="R656" s="29"/>
    </row>
    <row r="657" spans="13:18" ht="8.25" customHeight="1">
      <c r="M657" s="29"/>
      <c r="N657" s="29"/>
      <c r="O657" s="29"/>
      <c r="P657" s="29"/>
      <c r="Q657" s="29"/>
      <c r="R657" s="29"/>
    </row>
    <row r="658" spans="13:18" ht="8.25" customHeight="1">
      <c r="M658" s="29"/>
      <c r="N658" s="29"/>
      <c r="O658" s="29"/>
      <c r="P658" s="29"/>
      <c r="Q658" s="29"/>
      <c r="R658" s="29"/>
    </row>
    <row r="659" spans="13:18" ht="8.25" customHeight="1">
      <c r="M659" s="29"/>
      <c r="N659" s="29"/>
      <c r="O659" s="29"/>
      <c r="P659" s="29"/>
      <c r="Q659" s="29"/>
      <c r="R659" s="29"/>
    </row>
    <row r="660" spans="13:18" ht="8.25" customHeight="1">
      <c r="M660" s="29"/>
      <c r="N660" s="29"/>
      <c r="O660" s="29"/>
      <c r="P660" s="29"/>
      <c r="Q660" s="29"/>
      <c r="R660" s="29"/>
    </row>
    <row r="661" spans="13:18" ht="8.25" customHeight="1">
      <c r="M661" s="29"/>
      <c r="N661" s="29"/>
      <c r="O661" s="29"/>
      <c r="P661" s="29"/>
      <c r="Q661" s="29"/>
      <c r="R661" s="29"/>
    </row>
    <row r="662" spans="13:18" ht="8.25" customHeight="1">
      <c r="M662" s="29"/>
      <c r="N662" s="29"/>
      <c r="O662" s="29"/>
      <c r="P662" s="29"/>
      <c r="Q662" s="29"/>
      <c r="R662" s="29"/>
    </row>
    <row r="663" spans="13:18" ht="8.25" customHeight="1">
      <c r="M663" s="29"/>
      <c r="N663" s="29"/>
      <c r="O663" s="29"/>
      <c r="P663" s="29"/>
      <c r="Q663" s="29"/>
      <c r="R663" s="29"/>
    </row>
    <row r="664" spans="13:18" ht="8.25" customHeight="1">
      <c r="M664" s="29"/>
      <c r="N664" s="29"/>
      <c r="O664" s="29"/>
      <c r="P664" s="29"/>
      <c r="Q664" s="29"/>
      <c r="R664" s="29"/>
    </row>
    <row r="665" spans="13:18" ht="8.25" customHeight="1">
      <c r="M665" s="29"/>
      <c r="N665" s="29"/>
      <c r="O665" s="29"/>
      <c r="P665" s="29"/>
      <c r="Q665" s="29"/>
      <c r="R665" s="29"/>
    </row>
    <row r="666" spans="13:18" ht="8.25" customHeight="1">
      <c r="M666" s="29"/>
      <c r="N666" s="29"/>
      <c r="O666" s="29"/>
      <c r="P666" s="29"/>
      <c r="Q666" s="29"/>
      <c r="R666" s="29"/>
    </row>
    <row r="667" spans="13:18" ht="8.25" customHeight="1">
      <c r="M667" s="29"/>
      <c r="N667" s="29"/>
      <c r="O667" s="29"/>
      <c r="P667" s="29"/>
      <c r="Q667" s="29"/>
      <c r="R667" s="29"/>
    </row>
    <row r="668" spans="13:18" ht="8.25" customHeight="1">
      <c r="M668" s="29"/>
      <c r="N668" s="29"/>
      <c r="O668" s="29"/>
      <c r="P668" s="29"/>
      <c r="Q668" s="29"/>
      <c r="R668" s="29"/>
    </row>
    <row r="669" spans="13:18" ht="8.25" customHeight="1">
      <c r="M669" s="29"/>
      <c r="N669" s="29"/>
      <c r="O669" s="29"/>
      <c r="P669" s="29"/>
      <c r="Q669" s="29"/>
      <c r="R669" s="29"/>
    </row>
    <row r="670" spans="13:18" ht="8.25" customHeight="1">
      <c r="M670" s="29"/>
      <c r="N670" s="29"/>
      <c r="O670" s="29"/>
      <c r="P670" s="29"/>
      <c r="Q670" s="29"/>
      <c r="R670" s="29"/>
    </row>
    <row r="671" spans="13:18" ht="8.25" customHeight="1">
      <c r="M671" s="29"/>
      <c r="N671" s="29"/>
      <c r="O671" s="29"/>
      <c r="P671" s="29"/>
      <c r="Q671" s="29"/>
      <c r="R671" s="29"/>
    </row>
    <row r="672" spans="13:18" ht="8.25" customHeight="1">
      <c r="M672" s="29"/>
      <c r="N672" s="29"/>
      <c r="O672" s="29"/>
      <c r="P672" s="29"/>
      <c r="Q672" s="29"/>
      <c r="R672" s="29"/>
    </row>
    <row r="673" spans="13:18" ht="8.25" customHeight="1">
      <c r="M673" s="29"/>
      <c r="N673" s="29"/>
      <c r="O673" s="29"/>
      <c r="P673" s="29"/>
      <c r="Q673" s="29"/>
      <c r="R673" s="29"/>
    </row>
    <row r="674" spans="13:18" ht="8.25" customHeight="1">
      <c r="M674" s="29"/>
      <c r="N674" s="29"/>
      <c r="O674" s="29"/>
      <c r="P674" s="29"/>
      <c r="Q674" s="29"/>
      <c r="R674" s="29"/>
    </row>
    <row r="675" spans="13:18" ht="8.25" customHeight="1">
      <c r="M675" s="29"/>
      <c r="N675" s="29"/>
      <c r="O675" s="29"/>
      <c r="P675" s="29"/>
      <c r="Q675" s="29"/>
      <c r="R675" s="29"/>
    </row>
    <row r="676" spans="13:18" ht="8.25" customHeight="1">
      <c r="M676" s="29"/>
      <c r="N676" s="29"/>
      <c r="O676" s="29"/>
      <c r="P676" s="29"/>
      <c r="Q676" s="29"/>
      <c r="R676" s="29"/>
    </row>
    <row r="677" spans="13:18" ht="8.25" customHeight="1">
      <c r="M677" s="29"/>
      <c r="N677" s="29"/>
      <c r="O677" s="29"/>
      <c r="P677" s="29"/>
      <c r="Q677" s="29"/>
      <c r="R677" s="29"/>
    </row>
    <row r="678" spans="13:18" ht="8.25" customHeight="1">
      <c r="M678" s="29"/>
      <c r="N678" s="29"/>
      <c r="O678" s="29"/>
      <c r="P678" s="29"/>
      <c r="Q678" s="29"/>
      <c r="R678" s="29"/>
    </row>
    <row r="679" spans="13:18" ht="8.25" customHeight="1">
      <c r="M679" s="29"/>
      <c r="N679" s="29"/>
      <c r="O679" s="29"/>
      <c r="P679" s="29"/>
      <c r="Q679" s="29"/>
      <c r="R679" s="29"/>
    </row>
    <row r="680" spans="13:18" ht="8.25" customHeight="1">
      <c r="M680" s="29"/>
      <c r="N680" s="29"/>
      <c r="O680" s="29"/>
      <c r="P680" s="29"/>
      <c r="Q680" s="29"/>
      <c r="R680" s="29"/>
    </row>
    <row r="681" spans="13:18" ht="8.25" customHeight="1">
      <c r="M681" s="29"/>
      <c r="N681" s="29"/>
      <c r="O681" s="29"/>
      <c r="P681" s="29"/>
      <c r="Q681" s="29"/>
      <c r="R681" s="29"/>
    </row>
    <row r="682" spans="13:18" ht="8.25" customHeight="1">
      <c r="M682" s="29"/>
      <c r="N682" s="29"/>
      <c r="O682" s="29"/>
      <c r="P682" s="29"/>
      <c r="Q682" s="29"/>
      <c r="R682" s="29"/>
    </row>
    <row r="683" spans="13:18" ht="8.25" customHeight="1">
      <c r="M683" s="29"/>
      <c r="N683" s="29"/>
      <c r="O683" s="29"/>
      <c r="P683" s="29"/>
      <c r="Q683" s="29"/>
      <c r="R683" s="29"/>
    </row>
    <row r="684" spans="13:18" ht="8.25" customHeight="1">
      <c r="M684" s="29"/>
      <c r="N684" s="29"/>
      <c r="O684" s="29"/>
      <c r="P684" s="29"/>
      <c r="Q684" s="29"/>
      <c r="R684" s="29"/>
    </row>
    <row r="685" spans="13:18" ht="8.25" customHeight="1">
      <c r="M685" s="29"/>
      <c r="N685" s="29"/>
      <c r="O685" s="29"/>
      <c r="P685" s="29"/>
      <c r="Q685" s="29"/>
      <c r="R685" s="29"/>
    </row>
    <row r="686" spans="13:18" ht="8.25" customHeight="1">
      <c r="M686" s="29"/>
      <c r="N686" s="29"/>
      <c r="O686" s="29"/>
      <c r="P686" s="29"/>
      <c r="Q686" s="29"/>
      <c r="R686" s="29"/>
    </row>
    <row r="687" spans="13:18" ht="8.25" customHeight="1">
      <c r="M687" s="29"/>
      <c r="N687" s="29"/>
      <c r="O687" s="29"/>
      <c r="P687" s="29"/>
      <c r="Q687" s="29"/>
      <c r="R687" s="29"/>
    </row>
    <row r="688" spans="13:18" ht="8.25" customHeight="1">
      <c r="M688" s="29"/>
      <c r="N688" s="29"/>
      <c r="O688" s="29"/>
      <c r="P688" s="29"/>
      <c r="Q688" s="29"/>
      <c r="R688" s="29"/>
    </row>
    <row r="689" spans="13:18" ht="8.25" customHeight="1">
      <c r="M689" s="29"/>
      <c r="N689" s="29"/>
      <c r="O689" s="29"/>
      <c r="P689" s="29"/>
      <c r="Q689" s="29"/>
      <c r="R689" s="29"/>
    </row>
    <row r="690" spans="13:18" ht="8.25" customHeight="1">
      <c r="M690" s="29"/>
      <c r="N690" s="29"/>
      <c r="O690" s="29"/>
      <c r="P690" s="29"/>
      <c r="Q690" s="29"/>
      <c r="R690" s="29"/>
    </row>
    <row r="691" spans="13:18" ht="8.25" customHeight="1">
      <c r="M691" s="29"/>
      <c r="N691" s="29"/>
      <c r="O691" s="29"/>
      <c r="P691" s="29"/>
      <c r="Q691" s="29"/>
      <c r="R691" s="29"/>
    </row>
    <row r="692" spans="13:18" ht="8.25" customHeight="1">
      <c r="M692" s="29"/>
      <c r="N692" s="29"/>
      <c r="O692" s="29"/>
      <c r="P692" s="29"/>
      <c r="Q692" s="29"/>
      <c r="R692" s="29"/>
    </row>
    <row r="693" spans="13:18" ht="8.25" customHeight="1">
      <c r="M693" s="29"/>
      <c r="N693" s="29"/>
      <c r="O693" s="29"/>
      <c r="P693" s="29"/>
      <c r="Q693" s="29"/>
      <c r="R693" s="29"/>
    </row>
    <row r="694" spans="13:18" ht="8.25" customHeight="1">
      <c r="M694" s="29"/>
      <c r="N694" s="29"/>
      <c r="O694" s="29"/>
      <c r="P694" s="29"/>
      <c r="Q694" s="29"/>
      <c r="R694" s="29"/>
    </row>
    <row r="695" spans="13:18" ht="8.25" customHeight="1">
      <c r="M695" s="29"/>
      <c r="N695" s="29"/>
      <c r="O695" s="29"/>
      <c r="P695" s="29"/>
      <c r="Q695" s="29"/>
      <c r="R695" s="29"/>
    </row>
    <row r="696" spans="13:18" ht="8.25" customHeight="1">
      <c r="M696" s="29"/>
      <c r="N696" s="29"/>
      <c r="O696" s="29"/>
      <c r="P696" s="29"/>
      <c r="Q696" s="29"/>
      <c r="R696" s="29"/>
    </row>
    <row r="697" spans="13:18" ht="8.25" customHeight="1">
      <c r="M697" s="29"/>
      <c r="N697" s="29"/>
      <c r="O697" s="29"/>
      <c r="P697" s="29"/>
      <c r="Q697" s="29"/>
      <c r="R697" s="29"/>
    </row>
    <row r="698" spans="13:18" ht="8.25" customHeight="1">
      <c r="M698" s="29"/>
      <c r="N698" s="29"/>
      <c r="O698" s="29"/>
      <c r="P698" s="29"/>
      <c r="Q698" s="29"/>
      <c r="R698" s="29"/>
    </row>
    <row r="699" spans="13:18" ht="8.25" customHeight="1">
      <c r="M699" s="29"/>
      <c r="N699" s="29"/>
      <c r="O699" s="29"/>
      <c r="P699" s="29"/>
      <c r="Q699" s="29"/>
      <c r="R699" s="29"/>
    </row>
    <row r="700" spans="13:18" ht="8.25" customHeight="1">
      <c r="M700" s="29"/>
      <c r="N700" s="29"/>
      <c r="O700" s="29"/>
      <c r="P700" s="29"/>
      <c r="Q700" s="29"/>
      <c r="R700" s="29"/>
    </row>
    <row r="701" spans="13:18" ht="8.25" customHeight="1">
      <c r="M701" s="29"/>
      <c r="N701" s="29"/>
      <c r="O701" s="29"/>
      <c r="P701" s="29"/>
      <c r="Q701" s="29"/>
      <c r="R701" s="29"/>
    </row>
    <row r="702" spans="13:18" ht="8.25" customHeight="1">
      <c r="M702" s="29"/>
      <c r="N702" s="29"/>
      <c r="O702" s="29"/>
      <c r="P702" s="29"/>
      <c r="Q702" s="29"/>
      <c r="R702" s="29"/>
    </row>
    <row r="703" spans="13:18" ht="8.25" customHeight="1">
      <c r="M703" s="29"/>
      <c r="N703" s="29"/>
      <c r="O703" s="29"/>
      <c r="P703" s="29"/>
      <c r="Q703" s="29"/>
      <c r="R703" s="29"/>
    </row>
    <row r="704" spans="13:18" ht="8.25" customHeight="1">
      <c r="M704" s="29"/>
      <c r="N704" s="29"/>
      <c r="O704" s="29"/>
      <c r="P704" s="29"/>
      <c r="Q704" s="29"/>
      <c r="R704" s="29"/>
    </row>
    <row r="705" spans="13:18" ht="8.25" customHeight="1">
      <c r="M705" s="29"/>
      <c r="N705" s="29"/>
      <c r="O705" s="29"/>
      <c r="P705" s="29"/>
      <c r="Q705" s="29"/>
      <c r="R705" s="29"/>
    </row>
    <row r="706" spans="13:18" ht="8.25" customHeight="1">
      <c r="M706" s="29"/>
      <c r="N706" s="29"/>
      <c r="O706" s="29"/>
      <c r="P706" s="29"/>
      <c r="Q706" s="29"/>
      <c r="R706" s="29"/>
    </row>
    <row r="707" spans="13:18" ht="8.25" customHeight="1">
      <c r="M707" s="29"/>
      <c r="N707" s="29"/>
      <c r="O707" s="29"/>
      <c r="P707" s="29"/>
      <c r="Q707" s="29"/>
      <c r="R707" s="29"/>
    </row>
    <row r="708" spans="13:18" ht="8.25" customHeight="1">
      <c r="M708" s="29"/>
      <c r="N708" s="29"/>
      <c r="O708" s="29"/>
      <c r="P708" s="29"/>
      <c r="Q708" s="29"/>
      <c r="R708" s="29"/>
    </row>
    <row r="709" spans="13:18" ht="8.25" customHeight="1">
      <c r="M709" s="29"/>
      <c r="N709" s="29"/>
      <c r="O709" s="29"/>
      <c r="P709" s="29"/>
      <c r="Q709" s="29"/>
      <c r="R709" s="29"/>
    </row>
    <row r="710" spans="13:18" ht="8.25" customHeight="1">
      <c r="M710" s="29"/>
      <c r="N710" s="29"/>
      <c r="O710" s="29"/>
      <c r="P710" s="29"/>
      <c r="Q710" s="29"/>
      <c r="R710" s="29"/>
    </row>
    <row r="711" spans="13:18" ht="8.25" customHeight="1">
      <c r="M711" s="29"/>
      <c r="N711" s="29"/>
      <c r="O711" s="29"/>
      <c r="P711" s="29"/>
      <c r="Q711" s="29"/>
      <c r="R711" s="29"/>
    </row>
    <row r="712" spans="13:18" ht="8.25" customHeight="1">
      <c r="M712" s="29"/>
      <c r="N712" s="29"/>
      <c r="O712" s="29"/>
      <c r="P712" s="29"/>
      <c r="Q712" s="29"/>
      <c r="R712" s="29"/>
    </row>
    <row r="713" spans="13:18" ht="8.25" customHeight="1">
      <c r="M713" s="29"/>
      <c r="N713" s="29"/>
      <c r="O713" s="29"/>
      <c r="P713" s="29"/>
      <c r="Q713" s="29"/>
      <c r="R713" s="29"/>
    </row>
    <row r="714" spans="13:18" ht="8.25" customHeight="1">
      <c r="M714" s="29"/>
      <c r="N714" s="29"/>
      <c r="O714" s="29"/>
      <c r="P714" s="29"/>
      <c r="Q714" s="29"/>
      <c r="R714" s="29"/>
    </row>
    <row r="715" spans="13:18" ht="8.25" customHeight="1">
      <c r="M715" s="29"/>
      <c r="N715" s="29"/>
      <c r="O715" s="29"/>
      <c r="P715" s="29"/>
      <c r="Q715" s="29"/>
      <c r="R715" s="29"/>
    </row>
    <row r="716" spans="13:18" ht="8.25" customHeight="1">
      <c r="M716" s="29"/>
      <c r="N716" s="29"/>
      <c r="O716" s="29"/>
      <c r="P716" s="29"/>
      <c r="Q716" s="29"/>
      <c r="R716" s="29"/>
    </row>
    <row r="717" spans="13:18" ht="8.25" customHeight="1">
      <c r="M717" s="29"/>
      <c r="N717" s="29"/>
      <c r="O717" s="29"/>
      <c r="P717" s="29"/>
      <c r="Q717" s="29"/>
      <c r="R717" s="29"/>
    </row>
    <row r="718" spans="13:18" ht="8.25" customHeight="1">
      <c r="M718" s="29"/>
      <c r="N718" s="29"/>
      <c r="O718" s="29"/>
      <c r="P718" s="29"/>
      <c r="Q718" s="29"/>
      <c r="R718" s="29"/>
    </row>
    <row r="719" spans="13:18" ht="8.25" customHeight="1">
      <c r="M719" s="29"/>
      <c r="N719" s="29"/>
      <c r="O719" s="29"/>
      <c r="P719" s="29"/>
      <c r="Q719" s="29"/>
      <c r="R719" s="29"/>
    </row>
    <row r="720" spans="13:18" ht="8.25" customHeight="1">
      <c r="M720" s="29"/>
      <c r="N720" s="29"/>
      <c r="O720" s="29"/>
      <c r="P720" s="29"/>
      <c r="Q720" s="29"/>
      <c r="R720" s="29"/>
    </row>
    <row r="721" spans="13:18" ht="8.25" customHeight="1">
      <c r="M721" s="29"/>
      <c r="N721" s="29"/>
      <c r="O721" s="29"/>
      <c r="P721" s="29"/>
      <c r="Q721" s="29"/>
      <c r="R721" s="29"/>
    </row>
    <row r="722" spans="13:18" ht="8.25" customHeight="1">
      <c r="M722" s="29"/>
      <c r="N722" s="29"/>
      <c r="O722" s="29"/>
      <c r="P722" s="29"/>
      <c r="Q722" s="29"/>
      <c r="R722" s="29"/>
    </row>
    <row r="723" spans="13:18" ht="8.25" customHeight="1">
      <c r="M723" s="29"/>
      <c r="N723" s="29"/>
      <c r="O723" s="29"/>
      <c r="P723" s="29"/>
      <c r="Q723" s="29"/>
      <c r="R723" s="29"/>
    </row>
    <row r="724" spans="13:18" ht="8.25" customHeight="1">
      <c r="M724" s="29"/>
      <c r="N724" s="29"/>
      <c r="O724" s="29"/>
      <c r="P724" s="29"/>
      <c r="Q724" s="29"/>
      <c r="R724" s="29"/>
    </row>
    <row r="725" spans="13:18" ht="8.25" customHeight="1">
      <c r="M725" s="29"/>
      <c r="N725" s="29"/>
      <c r="O725" s="29"/>
      <c r="P725" s="29"/>
      <c r="Q725" s="29"/>
      <c r="R725" s="29"/>
    </row>
    <row r="726" spans="13:18" ht="8.25" customHeight="1">
      <c r="M726" s="29"/>
      <c r="N726" s="29"/>
      <c r="O726" s="29"/>
      <c r="P726" s="29"/>
      <c r="Q726" s="29"/>
      <c r="R726" s="29"/>
    </row>
    <row r="727" spans="13:18" ht="8.25" customHeight="1">
      <c r="M727" s="29"/>
      <c r="N727" s="29"/>
      <c r="O727" s="29"/>
      <c r="P727" s="29"/>
      <c r="Q727" s="29"/>
      <c r="R727" s="29"/>
    </row>
    <row r="728" spans="13:18" ht="8.25" customHeight="1">
      <c r="M728" s="29"/>
      <c r="N728" s="29"/>
      <c r="O728" s="29"/>
      <c r="P728" s="29"/>
      <c r="Q728" s="29"/>
      <c r="R728" s="29"/>
    </row>
    <row r="729" spans="13:18" ht="8.25" customHeight="1">
      <c r="M729" s="29"/>
      <c r="N729" s="29"/>
      <c r="O729" s="29"/>
      <c r="P729" s="29"/>
      <c r="Q729" s="29"/>
      <c r="R729" s="29"/>
    </row>
    <row r="730" spans="13:18" ht="8.25" customHeight="1">
      <c r="M730" s="29"/>
      <c r="N730" s="29"/>
      <c r="O730" s="29"/>
      <c r="P730" s="29"/>
      <c r="Q730" s="29"/>
      <c r="R730" s="29"/>
    </row>
    <row r="731" spans="13:18" ht="8.25" customHeight="1">
      <c r="M731" s="29"/>
      <c r="N731" s="29"/>
      <c r="O731" s="29"/>
      <c r="P731" s="29"/>
      <c r="Q731" s="29"/>
      <c r="R731" s="29"/>
    </row>
    <row r="732" spans="13:18" ht="8.25" customHeight="1">
      <c r="M732" s="29"/>
      <c r="N732" s="29"/>
      <c r="O732" s="29"/>
      <c r="P732" s="29"/>
      <c r="Q732" s="29"/>
      <c r="R732" s="29"/>
    </row>
    <row r="733" spans="13:18" ht="8.25" customHeight="1">
      <c r="M733" s="29"/>
      <c r="N733" s="29"/>
      <c r="O733" s="29"/>
      <c r="P733" s="29"/>
      <c r="Q733" s="29"/>
      <c r="R733" s="29"/>
    </row>
    <row r="734" spans="13:18" ht="8.25" customHeight="1">
      <c r="M734" s="29"/>
      <c r="N734" s="29"/>
      <c r="O734" s="29"/>
      <c r="P734" s="29"/>
      <c r="Q734" s="29"/>
      <c r="R734" s="29"/>
    </row>
    <row r="735" spans="13:18" ht="8.25" customHeight="1">
      <c r="M735" s="29"/>
      <c r="N735" s="29"/>
      <c r="O735" s="29"/>
      <c r="P735" s="29"/>
      <c r="Q735" s="29"/>
      <c r="R735" s="29"/>
    </row>
    <row r="736" spans="13:18" ht="8.25" customHeight="1">
      <c r="M736" s="29"/>
      <c r="N736" s="29"/>
      <c r="O736" s="29"/>
      <c r="P736" s="29"/>
      <c r="Q736" s="29"/>
      <c r="R736" s="29"/>
    </row>
    <row r="737" spans="13:18" ht="8.25" customHeight="1">
      <c r="M737" s="29"/>
      <c r="N737" s="29"/>
      <c r="O737" s="29"/>
      <c r="P737" s="29"/>
      <c r="Q737" s="29"/>
      <c r="R737" s="29"/>
    </row>
    <row r="738" spans="13:18" ht="8.25" customHeight="1">
      <c r="M738" s="29"/>
      <c r="N738" s="29"/>
      <c r="O738" s="29"/>
      <c r="P738" s="29"/>
      <c r="Q738" s="29"/>
      <c r="R738" s="29"/>
    </row>
    <row r="739" spans="13:18" ht="8.25" customHeight="1">
      <c r="M739" s="29"/>
      <c r="N739" s="29"/>
      <c r="O739" s="29"/>
      <c r="P739" s="29"/>
      <c r="Q739" s="29"/>
      <c r="R739" s="29"/>
    </row>
    <row r="740" spans="13:18" ht="8.25" customHeight="1">
      <c r="M740" s="29"/>
      <c r="N740" s="29"/>
      <c r="O740" s="29"/>
      <c r="P740" s="29"/>
      <c r="Q740" s="29"/>
      <c r="R740" s="29"/>
    </row>
    <row r="741" spans="13:18" ht="8.25" customHeight="1">
      <c r="M741" s="29"/>
      <c r="N741" s="29"/>
      <c r="O741" s="29"/>
      <c r="P741" s="29"/>
      <c r="Q741" s="29"/>
      <c r="R741" s="29"/>
    </row>
    <row r="742" spans="13:18" ht="8.25" customHeight="1">
      <c r="M742" s="29"/>
      <c r="N742" s="29"/>
      <c r="O742" s="29"/>
      <c r="P742" s="29"/>
      <c r="Q742" s="29"/>
      <c r="R742" s="29"/>
    </row>
    <row r="743" spans="13:18" ht="8.25" customHeight="1">
      <c r="M743" s="29"/>
      <c r="N743" s="29"/>
      <c r="O743" s="29"/>
      <c r="P743" s="29"/>
      <c r="Q743" s="29"/>
      <c r="R743" s="29"/>
    </row>
    <row r="744" spans="13:18" ht="8.25" customHeight="1">
      <c r="M744" s="29"/>
      <c r="N744" s="29"/>
      <c r="O744" s="29"/>
      <c r="P744" s="29"/>
      <c r="Q744" s="29"/>
      <c r="R744" s="29"/>
    </row>
    <row r="745" spans="13:18" ht="8.25" customHeight="1">
      <c r="M745" s="29"/>
      <c r="N745" s="29"/>
      <c r="O745" s="29"/>
      <c r="P745" s="29"/>
      <c r="Q745" s="29"/>
      <c r="R745" s="29"/>
    </row>
    <row r="746" spans="13:18" ht="8.25" customHeight="1">
      <c r="M746" s="29"/>
      <c r="N746" s="29"/>
      <c r="O746" s="29"/>
      <c r="P746" s="29"/>
      <c r="Q746" s="29"/>
      <c r="R746" s="29"/>
    </row>
    <row r="747" spans="13:18" ht="8.25" customHeight="1">
      <c r="M747" s="29"/>
      <c r="N747" s="29"/>
      <c r="O747" s="29"/>
      <c r="P747" s="29"/>
      <c r="Q747" s="29"/>
      <c r="R747" s="29"/>
    </row>
    <row r="748" spans="13:18" ht="8.25" customHeight="1">
      <c r="M748" s="29"/>
      <c r="N748" s="29"/>
      <c r="O748" s="29"/>
      <c r="P748" s="29"/>
      <c r="Q748" s="29"/>
      <c r="R748" s="29"/>
    </row>
    <row r="749" spans="13:18" ht="8.25" customHeight="1">
      <c r="M749" s="29"/>
      <c r="N749" s="29"/>
      <c r="O749" s="29"/>
      <c r="P749" s="29"/>
      <c r="Q749" s="29"/>
      <c r="R749" s="29"/>
    </row>
    <row r="750" spans="13:18" ht="8.25" customHeight="1">
      <c r="M750" s="29"/>
      <c r="N750" s="29"/>
      <c r="O750" s="29"/>
      <c r="P750" s="29"/>
      <c r="Q750" s="29"/>
      <c r="R750" s="29"/>
    </row>
    <row r="751" spans="13:18" ht="8.25" customHeight="1">
      <c r="M751" s="29"/>
      <c r="N751" s="29"/>
      <c r="O751" s="29"/>
      <c r="P751" s="29"/>
      <c r="Q751" s="29"/>
      <c r="R751" s="29"/>
    </row>
    <row r="752" spans="13:18" ht="8.25" customHeight="1">
      <c r="M752" s="29"/>
      <c r="N752" s="29"/>
      <c r="O752" s="29"/>
      <c r="P752" s="29"/>
      <c r="Q752" s="29"/>
      <c r="R752" s="29"/>
    </row>
    <row r="753" spans="13:18" ht="8.25" customHeight="1">
      <c r="M753" s="29"/>
      <c r="N753" s="29"/>
      <c r="O753" s="29"/>
      <c r="P753" s="29"/>
      <c r="Q753" s="29"/>
      <c r="R753" s="29"/>
    </row>
    <row r="754" spans="13:18" ht="8.25" customHeight="1">
      <c r="M754" s="29"/>
      <c r="N754" s="29"/>
      <c r="O754" s="29"/>
      <c r="P754" s="29"/>
      <c r="Q754" s="29"/>
      <c r="R754" s="29"/>
    </row>
    <row r="755" spans="13:18" ht="8.25" customHeight="1">
      <c r="M755" s="29"/>
      <c r="N755" s="29"/>
      <c r="O755" s="29"/>
      <c r="P755" s="29"/>
      <c r="Q755" s="29"/>
      <c r="R755" s="29"/>
    </row>
    <row r="756" spans="13:18" ht="8.25" customHeight="1">
      <c r="M756" s="29"/>
      <c r="N756" s="29"/>
      <c r="O756" s="29"/>
      <c r="P756" s="29"/>
      <c r="Q756" s="29"/>
      <c r="R756" s="29"/>
    </row>
    <row r="757" spans="13:18" ht="8.25" customHeight="1">
      <c r="M757" s="29"/>
      <c r="N757" s="29"/>
      <c r="O757" s="29"/>
      <c r="P757" s="29"/>
      <c r="Q757" s="29"/>
      <c r="R757" s="29"/>
    </row>
    <row r="758" spans="13:18" ht="8.25" customHeight="1">
      <c r="M758" s="29"/>
      <c r="N758" s="29"/>
      <c r="O758" s="29"/>
      <c r="P758" s="29"/>
      <c r="Q758" s="29"/>
      <c r="R758" s="29"/>
    </row>
    <row r="759" spans="13:18" ht="8.25" customHeight="1">
      <c r="M759" s="29"/>
      <c r="N759" s="29"/>
      <c r="O759" s="29"/>
      <c r="P759" s="29"/>
      <c r="Q759" s="29"/>
      <c r="R759" s="29"/>
    </row>
    <row r="760" spans="13:18" ht="8.25" customHeight="1">
      <c r="M760" s="29"/>
      <c r="N760" s="29"/>
      <c r="O760" s="29"/>
      <c r="P760" s="29"/>
      <c r="Q760" s="29"/>
      <c r="R760" s="29"/>
    </row>
    <row r="761" spans="13:18" ht="8.25" customHeight="1">
      <c r="M761" s="29"/>
      <c r="N761" s="29"/>
      <c r="O761" s="29"/>
      <c r="P761" s="29"/>
      <c r="Q761" s="29"/>
      <c r="R761" s="29"/>
    </row>
    <row r="762" spans="13:18" ht="8.25" customHeight="1">
      <c r="M762" s="29"/>
      <c r="N762" s="29"/>
      <c r="O762" s="29"/>
      <c r="P762" s="29"/>
      <c r="Q762" s="29"/>
      <c r="R762" s="29"/>
    </row>
    <row r="763" spans="13:18" ht="8.25" customHeight="1">
      <c r="M763" s="29"/>
      <c r="N763" s="29"/>
      <c r="O763" s="29"/>
      <c r="P763" s="29"/>
      <c r="Q763" s="29"/>
      <c r="R763" s="29"/>
    </row>
    <row r="764" spans="13:18" ht="8.25" customHeight="1">
      <c r="M764" s="29"/>
      <c r="N764" s="29"/>
      <c r="O764" s="29"/>
      <c r="P764" s="29"/>
      <c r="Q764" s="29"/>
      <c r="R764" s="29"/>
    </row>
    <row r="765" spans="13:18" ht="8.25" customHeight="1">
      <c r="M765" s="29"/>
      <c r="N765" s="29"/>
      <c r="O765" s="29"/>
      <c r="P765" s="29"/>
      <c r="Q765" s="29"/>
      <c r="R765" s="29"/>
    </row>
    <row r="766" spans="13:18" ht="8.25" customHeight="1">
      <c r="M766" s="29"/>
      <c r="N766" s="29"/>
      <c r="O766" s="29"/>
      <c r="P766" s="29"/>
      <c r="Q766" s="29"/>
      <c r="R766" s="29"/>
    </row>
    <row r="767" spans="13:18" ht="8.25" customHeight="1">
      <c r="M767" s="29"/>
      <c r="N767" s="29"/>
      <c r="O767" s="29"/>
      <c r="P767" s="29"/>
      <c r="Q767" s="29"/>
      <c r="R767" s="29"/>
    </row>
    <row r="768" spans="13:18" ht="8.25" customHeight="1">
      <c r="M768" s="29"/>
      <c r="N768" s="29"/>
      <c r="O768" s="29"/>
      <c r="P768" s="29"/>
      <c r="Q768" s="29"/>
      <c r="R768" s="29"/>
    </row>
    <row r="769" spans="13:18" ht="8.25" customHeight="1">
      <c r="M769" s="29"/>
      <c r="N769" s="29"/>
      <c r="O769" s="29"/>
      <c r="P769" s="29"/>
      <c r="Q769" s="29"/>
      <c r="R769" s="29"/>
    </row>
    <row r="770" spans="13:18" ht="8.25" customHeight="1">
      <c r="M770" s="29"/>
      <c r="N770" s="29"/>
      <c r="O770" s="29"/>
      <c r="P770" s="29"/>
      <c r="Q770" s="29"/>
      <c r="R770" s="29"/>
    </row>
    <row r="771" spans="13:18" ht="8.25" customHeight="1">
      <c r="M771" s="29"/>
      <c r="N771" s="29"/>
      <c r="O771" s="29"/>
      <c r="P771" s="29"/>
      <c r="Q771" s="29"/>
      <c r="R771" s="29"/>
    </row>
    <row r="772" spans="13:18" ht="8.25" customHeight="1">
      <c r="M772" s="29"/>
      <c r="N772" s="29"/>
      <c r="O772" s="29"/>
      <c r="P772" s="29"/>
      <c r="Q772" s="29"/>
      <c r="R772" s="29"/>
    </row>
    <row r="773" spans="13:18" ht="8.25" customHeight="1">
      <c r="M773" s="29"/>
      <c r="N773" s="29"/>
      <c r="O773" s="29"/>
      <c r="P773" s="29"/>
      <c r="Q773" s="29"/>
      <c r="R773" s="29"/>
    </row>
    <row r="774" spans="13:18" ht="8.25" customHeight="1">
      <c r="M774" s="29"/>
      <c r="N774" s="29"/>
      <c r="O774" s="29"/>
      <c r="P774" s="29"/>
      <c r="Q774" s="29"/>
      <c r="R774" s="29"/>
    </row>
    <row r="775" spans="13:18" ht="8.25" customHeight="1">
      <c r="M775" s="29"/>
      <c r="N775" s="29"/>
      <c r="O775" s="29"/>
      <c r="P775" s="29"/>
      <c r="Q775" s="29"/>
      <c r="R775" s="29"/>
    </row>
    <row r="776" spans="13:18" ht="8.25" customHeight="1">
      <c r="M776" s="29"/>
      <c r="N776" s="29"/>
      <c r="O776" s="29"/>
      <c r="P776" s="29"/>
      <c r="Q776" s="29"/>
      <c r="R776" s="29"/>
    </row>
    <row r="777" spans="13:18" ht="8.25" customHeight="1">
      <c r="M777" s="29"/>
      <c r="N777" s="29"/>
      <c r="O777" s="29"/>
      <c r="P777" s="29"/>
      <c r="Q777" s="29"/>
      <c r="R777" s="29"/>
    </row>
    <row r="778" spans="13:18" ht="8.25" customHeight="1">
      <c r="M778" s="29"/>
      <c r="N778" s="29"/>
      <c r="O778" s="29"/>
      <c r="P778" s="29"/>
      <c r="Q778" s="29"/>
      <c r="R778" s="29"/>
    </row>
    <row r="779" spans="13:18" ht="8.25" customHeight="1">
      <c r="M779" s="29"/>
      <c r="N779" s="29"/>
      <c r="O779" s="29"/>
      <c r="P779" s="29"/>
      <c r="Q779" s="29"/>
      <c r="R779" s="29"/>
    </row>
    <row r="780" spans="13:18" ht="8.25" customHeight="1">
      <c r="M780" s="29"/>
      <c r="N780" s="29"/>
      <c r="O780" s="29"/>
      <c r="P780" s="29"/>
      <c r="Q780" s="29"/>
      <c r="R780" s="29"/>
    </row>
    <row r="781" spans="13:18" ht="8.25" customHeight="1">
      <c r="M781" s="29"/>
      <c r="N781" s="29"/>
      <c r="O781" s="29"/>
      <c r="P781" s="29"/>
      <c r="Q781" s="29"/>
      <c r="R781" s="29"/>
    </row>
    <row r="782" spans="13:18" ht="8.25" customHeight="1">
      <c r="M782" s="29"/>
      <c r="N782" s="29"/>
      <c r="O782" s="29"/>
      <c r="P782" s="29"/>
      <c r="Q782" s="29"/>
      <c r="R782" s="29"/>
    </row>
    <row r="783" spans="13:18" ht="8.25" customHeight="1">
      <c r="M783" s="29"/>
      <c r="N783" s="29"/>
      <c r="O783" s="29"/>
      <c r="P783" s="29"/>
      <c r="Q783" s="29"/>
      <c r="R783" s="29"/>
    </row>
    <row r="784" spans="13:18" ht="8.25" customHeight="1">
      <c r="M784" s="29"/>
      <c r="N784" s="29"/>
      <c r="O784" s="29"/>
      <c r="P784" s="29"/>
      <c r="Q784" s="29"/>
      <c r="R784" s="29"/>
    </row>
    <row r="785" spans="13:18" ht="8.25" customHeight="1">
      <c r="M785" s="29"/>
      <c r="N785" s="29"/>
      <c r="O785" s="29"/>
      <c r="P785" s="29"/>
      <c r="Q785" s="29"/>
      <c r="R785" s="29"/>
    </row>
    <row r="786" spans="13:18" ht="8.25" customHeight="1">
      <c r="M786" s="29"/>
      <c r="N786" s="29"/>
      <c r="O786" s="29"/>
      <c r="P786" s="29"/>
      <c r="Q786" s="29"/>
      <c r="R786" s="29"/>
    </row>
    <row r="787" spans="13:18" ht="8.25" customHeight="1">
      <c r="M787" s="29"/>
      <c r="N787" s="29"/>
      <c r="O787" s="29"/>
      <c r="P787" s="29"/>
      <c r="Q787" s="29"/>
      <c r="R787" s="29"/>
    </row>
    <row r="788" spans="13:18" ht="8.25" customHeight="1">
      <c r="M788" s="29"/>
      <c r="N788" s="29"/>
      <c r="O788" s="29"/>
      <c r="P788" s="29"/>
      <c r="Q788" s="29"/>
      <c r="R788" s="29"/>
    </row>
    <row r="789" spans="13:18" ht="8.25" customHeight="1">
      <c r="M789" s="29"/>
      <c r="N789" s="29"/>
      <c r="O789" s="29"/>
      <c r="P789" s="29"/>
      <c r="Q789" s="29"/>
      <c r="R789" s="29"/>
    </row>
    <row r="790" spans="13:18" ht="8.25" customHeight="1">
      <c r="M790" s="29"/>
      <c r="N790" s="29"/>
      <c r="O790" s="29"/>
      <c r="P790" s="29"/>
      <c r="Q790" s="29"/>
      <c r="R790" s="29"/>
    </row>
    <row r="791" spans="13:18" ht="8.25" customHeight="1">
      <c r="M791" s="29"/>
      <c r="N791" s="29"/>
      <c r="O791" s="29"/>
      <c r="P791" s="29"/>
      <c r="Q791" s="29"/>
      <c r="R791" s="29"/>
    </row>
    <row r="792" spans="13:18" ht="8.25" customHeight="1">
      <c r="M792" s="29"/>
      <c r="N792" s="29"/>
      <c r="O792" s="29"/>
      <c r="P792" s="29"/>
      <c r="Q792" s="29"/>
      <c r="R792" s="29"/>
    </row>
    <row r="793" spans="13:18" ht="8.25" customHeight="1">
      <c r="M793" s="29"/>
      <c r="N793" s="29"/>
      <c r="O793" s="29"/>
      <c r="P793" s="29"/>
      <c r="Q793" s="29"/>
      <c r="R793" s="29"/>
    </row>
    <row r="794" spans="13:18" ht="8.25" customHeight="1">
      <c r="M794" s="29"/>
      <c r="N794" s="29"/>
      <c r="O794" s="29"/>
      <c r="P794" s="29"/>
      <c r="Q794" s="29"/>
      <c r="R794" s="29"/>
    </row>
    <row r="795" spans="13:18" ht="8.25" customHeight="1">
      <c r="M795" s="29"/>
      <c r="N795" s="29"/>
      <c r="O795" s="29"/>
      <c r="P795" s="29"/>
      <c r="Q795" s="29"/>
      <c r="R795" s="29"/>
    </row>
    <row r="796" spans="13:18" ht="8.25" customHeight="1">
      <c r="M796" s="29"/>
      <c r="N796" s="29"/>
      <c r="O796" s="29"/>
      <c r="P796" s="29"/>
      <c r="Q796" s="29"/>
      <c r="R796" s="29"/>
    </row>
    <row r="797" spans="13:18" ht="8.25" customHeight="1">
      <c r="M797" s="29"/>
      <c r="N797" s="29"/>
      <c r="O797" s="29"/>
      <c r="P797" s="29"/>
      <c r="Q797" s="29"/>
      <c r="R797" s="29"/>
    </row>
    <row r="798" spans="13:18" ht="8.25" customHeight="1">
      <c r="M798" s="29"/>
      <c r="N798" s="29"/>
      <c r="O798" s="29"/>
      <c r="P798" s="29"/>
      <c r="Q798" s="29"/>
      <c r="R798" s="29"/>
    </row>
    <row r="799" spans="13:18" ht="8.25" customHeight="1">
      <c r="M799" s="29"/>
      <c r="N799" s="29"/>
      <c r="O799" s="29"/>
      <c r="P799" s="29"/>
      <c r="Q799" s="29"/>
      <c r="R799" s="29"/>
    </row>
    <row r="800" spans="13:18" ht="8.25" customHeight="1">
      <c r="M800" s="29"/>
      <c r="N800" s="29"/>
      <c r="O800" s="29"/>
      <c r="P800" s="29"/>
      <c r="Q800" s="29"/>
      <c r="R800" s="29"/>
    </row>
    <row r="801" spans="13:18" ht="8.25" customHeight="1">
      <c r="M801" s="29"/>
      <c r="N801" s="29"/>
      <c r="O801" s="29"/>
      <c r="P801" s="29"/>
      <c r="Q801" s="29"/>
      <c r="R801" s="29"/>
    </row>
    <row r="802" spans="13:18" ht="8.25" customHeight="1">
      <c r="M802" s="29"/>
      <c r="N802" s="29"/>
      <c r="O802" s="29"/>
      <c r="P802" s="29"/>
      <c r="Q802" s="29"/>
      <c r="R802" s="29"/>
    </row>
    <row r="803" spans="13:18" ht="8.25" customHeight="1">
      <c r="M803" s="29"/>
      <c r="N803" s="29"/>
      <c r="O803" s="29"/>
      <c r="P803" s="29"/>
      <c r="Q803" s="29"/>
      <c r="R803" s="29"/>
    </row>
    <row r="804" spans="13:18" ht="8.25" customHeight="1">
      <c r="M804" s="29"/>
      <c r="N804" s="29"/>
      <c r="O804" s="29"/>
      <c r="P804" s="29"/>
      <c r="Q804" s="29"/>
      <c r="R804" s="29"/>
    </row>
    <row r="805" spans="13:18" ht="8.25" customHeight="1">
      <c r="M805" s="29"/>
      <c r="N805" s="29"/>
      <c r="O805" s="29"/>
      <c r="P805" s="29"/>
      <c r="Q805" s="29"/>
      <c r="R805" s="29"/>
    </row>
    <row r="806" spans="13:18" ht="8.25" customHeight="1">
      <c r="M806" s="29"/>
      <c r="N806" s="29"/>
      <c r="O806" s="29"/>
      <c r="P806" s="29"/>
      <c r="Q806" s="29"/>
      <c r="R806" s="29"/>
    </row>
    <row r="807" spans="13:18" ht="8.25" customHeight="1">
      <c r="M807" s="29"/>
      <c r="N807" s="29"/>
      <c r="O807" s="29"/>
      <c r="P807" s="29"/>
      <c r="Q807" s="29"/>
      <c r="R807" s="29"/>
    </row>
    <row r="808" spans="13:18" ht="8.25" customHeight="1">
      <c r="M808" s="29"/>
      <c r="N808" s="29"/>
      <c r="O808" s="29"/>
      <c r="P808" s="29"/>
      <c r="Q808" s="29"/>
      <c r="R808" s="29"/>
    </row>
    <row r="809" spans="13:18" ht="8.25" customHeight="1">
      <c r="M809" s="29"/>
      <c r="N809" s="29"/>
      <c r="O809" s="29"/>
      <c r="P809" s="29"/>
      <c r="Q809" s="29"/>
      <c r="R809" s="29"/>
    </row>
    <row r="810" spans="13:18" ht="8.25" customHeight="1">
      <c r="M810" s="29"/>
      <c r="N810" s="29"/>
      <c r="O810" s="29"/>
      <c r="P810" s="29"/>
      <c r="Q810" s="29"/>
      <c r="R810" s="29"/>
    </row>
    <row r="811" spans="13:18" ht="8.25" customHeight="1">
      <c r="M811" s="29"/>
      <c r="N811" s="29"/>
      <c r="O811" s="29"/>
      <c r="P811" s="29"/>
      <c r="Q811" s="29"/>
      <c r="R811" s="29"/>
    </row>
    <row r="812" spans="13:18" ht="8.25" customHeight="1">
      <c r="M812" s="29"/>
      <c r="N812" s="29"/>
      <c r="O812" s="29"/>
      <c r="P812" s="29"/>
      <c r="Q812" s="29"/>
      <c r="R812" s="29"/>
    </row>
    <row r="813" spans="13:18" ht="8.25" customHeight="1">
      <c r="M813" s="29"/>
      <c r="N813" s="29"/>
      <c r="O813" s="29"/>
      <c r="P813" s="29"/>
      <c r="Q813" s="29"/>
      <c r="R813" s="29"/>
    </row>
    <row r="814" spans="13:18" ht="8.25" customHeight="1">
      <c r="M814" s="29"/>
      <c r="N814" s="29"/>
      <c r="O814" s="29"/>
      <c r="P814" s="29"/>
      <c r="Q814" s="29"/>
      <c r="R814" s="29"/>
    </row>
    <row r="815" spans="13:18" ht="8.25" customHeight="1">
      <c r="M815" s="29"/>
      <c r="N815" s="29"/>
      <c r="O815" s="29"/>
      <c r="P815" s="29"/>
      <c r="Q815" s="29"/>
      <c r="R815" s="29"/>
    </row>
    <row r="816" spans="13:18" ht="8.25" customHeight="1">
      <c r="M816" s="29"/>
      <c r="N816" s="29"/>
      <c r="O816" s="29"/>
      <c r="P816" s="29"/>
      <c r="Q816" s="29"/>
      <c r="R816" s="29"/>
    </row>
    <row r="817" spans="13:18" ht="8.25" customHeight="1">
      <c r="M817" s="29"/>
      <c r="N817" s="29"/>
      <c r="O817" s="29"/>
      <c r="P817" s="29"/>
      <c r="Q817" s="29"/>
      <c r="R817" s="29"/>
    </row>
    <row r="818" spans="13:18" ht="8.25" customHeight="1">
      <c r="M818" s="29"/>
      <c r="N818" s="29"/>
      <c r="O818" s="29"/>
      <c r="P818" s="29"/>
      <c r="Q818" s="29"/>
      <c r="R818" s="29"/>
    </row>
    <row r="819" spans="13:18" ht="8.25" customHeight="1">
      <c r="M819" s="29"/>
      <c r="N819" s="29"/>
      <c r="O819" s="29"/>
      <c r="P819" s="29"/>
      <c r="Q819" s="29"/>
      <c r="R819" s="29"/>
    </row>
    <row r="820" spans="13:18" ht="8.25" customHeight="1">
      <c r="M820" s="29"/>
      <c r="N820" s="29"/>
      <c r="O820" s="29"/>
      <c r="P820" s="29"/>
      <c r="Q820" s="29"/>
      <c r="R820" s="29"/>
    </row>
    <row r="821" spans="13:18" ht="8.25" customHeight="1">
      <c r="M821" s="29"/>
      <c r="N821" s="29"/>
      <c r="O821" s="29"/>
      <c r="P821" s="29"/>
      <c r="Q821" s="29"/>
      <c r="R821" s="29"/>
    </row>
    <row r="822" spans="13:18" ht="8.25" customHeight="1">
      <c r="M822" s="29"/>
      <c r="N822" s="29"/>
      <c r="O822" s="29"/>
      <c r="P822" s="29"/>
      <c r="Q822" s="29"/>
      <c r="R822" s="29"/>
    </row>
    <row r="823" spans="13:18" ht="8.25" customHeight="1">
      <c r="M823" s="29"/>
      <c r="N823" s="29"/>
      <c r="O823" s="29"/>
      <c r="P823" s="29"/>
      <c r="Q823" s="29"/>
      <c r="R823" s="29"/>
    </row>
    <row r="824" spans="13:18" ht="8.25" customHeight="1">
      <c r="M824" s="29"/>
      <c r="N824" s="29"/>
      <c r="O824" s="29"/>
      <c r="P824" s="29"/>
      <c r="Q824" s="29"/>
      <c r="R824" s="29"/>
    </row>
    <row r="825" spans="13:18" ht="8.25" customHeight="1">
      <c r="M825" s="29"/>
      <c r="N825" s="29"/>
      <c r="O825" s="29"/>
      <c r="P825" s="29"/>
      <c r="Q825" s="29"/>
      <c r="R825" s="29"/>
    </row>
    <row r="826" spans="13:18" ht="8.25" customHeight="1">
      <c r="M826" s="29"/>
      <c r="N826" s="29"/>
      <c r="O826" s="29"/>
      <c r="P826" s="29"/>
      <c r="Q826" s="29"/>
      <c r="R826" s="29"/>
    </row>
    <row r="827" spans="13:18" ht="8.25" customHeight="1">
      <c r="M827" s="29"/>
      <c r="N827" s="29"/>
      <c r="O827" s="29"/>
      <c r="P827" s="29"/>
      <c r="Q827" s="29"/>
      <c r="R827" s="29"/>
    </row>
    <row r="828" spans="13:18" ht="8.25" customHeight="1">
      <c r="M828" s="29"/>
      <c r="N828" s="29"/>
      <c r="O828" s="29"/>
      <c r="P828" s="29"/>
      <c r="Q828" s="29"/>
      <c r="R828" s="29"/>
    </row>
    <row r="829" spans="13:18" ht="8.25" customHeight="1">
      <c r="M829" s="29"/>
      <c r="N829" s="29"/>
      <c r="O829" s="29"/>
      <c r="P829" s="29"/>
      <c r="Q829" s="29"/>
      <c r="R829" s="29"/>
    </row>
    <row r="830" spans="13:18" ht="8.25" customHeight="1">
      <c r="M830" s="29"/>
      <c r="N830" s="29"/>
      <c r="O830" s="29"/>
      <c r="P830" s="29"/>
      <c r="Q830" s="29"/>
      <c r="R830" s="29"/>
    </row>
    <row r="831" spans="13:18" ht="8.25" customHeight="1">
      <c r="M831" s="29"/>
      <c r="N831" s="29"/>
      <c r="O831" s="29"/>
      <c r="P831" s="29"/>
      <c r="Q831" s="29"/>
      <c r="R831" s="29"/>
    </row>
    <row r="832" spans="13:18" ht="8.25" customHeight="1">
      <c r="M832" s="29"/>
      <c r="N832" s="29"/>
      <c r="O832" s="29"/>
      <c r="P832" s="29"/>
      <c r="Q832" s="29"/>
      <c r="R832" s="29"/>
    </row>
    <row r="833" spans="13:18" ht="8.25" customHeight="1">
      <c r="M833" s="29"/>
      <c r="N833" s="29"/>
      <c r="O833" s="29"/>
      <c r="P833" s="29"/>
      <c r="Q833" s="29"/>
      <c r="R833" s="29"/>
    </row>
    <row r="834" spans="13:18" ht="8.25" customHeight="1">
      <c r="M834" s="29"/>
      <c r="N834" s="29"/>
      <c r="O834" s="29"/>
      <c r="P834" s="29"/>
      <c r="Q834" s="29"/>
      <c r="R834" s="29"/>
    </row>
    <row r="835" spans="13:18" ht="8.25" customHeight="1">
      <c r="M835" s="29"/>
      <c r="N835" s="29"/>
      <c r="O835" s="29"/>
      <c r="P835" s="29"/>
      <c r="Q835" s="29"/>
      <c r="R835" s="29"/>
    </row>
    <row r="836" spans="13:18" ht="8.25" customHeight="1">
      <c r="M836" s="29"/>
      <c r="N836" s="29"/>
      <c r="O836" s="29"/>
      <c r="P836" s="29"/>
      <c r="Q836" s="29"/>
      <c r="R836" s="29"/>
    </row>
    <row r="837" spans="13:18" ht="8.25" customHeight="1">
      <c r="M837" s="29"/>
      <c r="N837" s="29"/>
      <c r="O837" s="29"/>
      <c r="P837" s="29"/>
      <c r="Q837" s="29"/>
      <c r="R837" s="29"/>
    </row>
    <row r="838" spans="13:18" ht="8.25" customHeight="1">
      <c r="M838" s="29"/>
      <c r="N838" s="29"/>
      <c r="O838" s="29"/>
      <c r="P838" s="29"/>
      <c r="Q838" s="29"/>
      <c r="R838" s="29"/>
    </row>
    <row r="839" spans="13:18" ht="8.25" customHeight="1">
      <c r="M839" s="29"/>
      <c r="N839" s="29"/>
      <c r="O839" s="29"/>
      <c r="P839" s="29"/>
      <c r="Q839" s="29"/>
      <c r="R839" s="29"/>
    </row>
    <row r="840" spans="13:18" ht="8.25" customHeight="1">
      <c r="M840" s="29"/>
      <c r="N840" s="29"/>
      <c r="O840" s="29"/>
      <c r="P840" s="29"/>
      <c r="Q840" s="29"/>
      <c r="R840" s="29"/>
    </row>
    <row r="841" spans="13:18" ht="8.25" customHeight="1">
      <c r="M841" s="29"/>
      <c r="N841" s="29"/>
      <c r="O841" s="29"/>
      <c r="P841" s="29"/>
      <c r="Q841" s="29"/>
      <c r="R841" s="29"/>
    </row>
    <row r="842" spans="13:18" ht="8.25" customHeight="1">
      <c r="M842" s="29"/>
      <c r="N842" s="29"/>
      <c r="O842" s="29"/>
      <c r="P842" s="29"/>
      <c r="Q842" s="29"/>
      <c r="R842" s="29"/>
    </row>
    <row r="843" spans="13:18" ht="8.25" customHeight="1">
      <c r="M843" s="29"/>
      <c r="N843" s="29"/>
      <c r="O843" s="29"/>
      <c r="P843" s="29"/>
      <c r="Q843" s="29"/>
      <c r="R843" s="29"/>
    </row>
    <row r="844" spans="13:18" ht="8.25" customHeight="1">
      <c r="M844" s="29"/>
      <c r="N844" s="29"/>
      <c r="O844" s="29"/>
      <c r="P844" s="29"/>
      <c r="Q844" s="29"/>
      <c r="R844" s="29"/>
    </row>
    <row r="845" spans="13:18" ht="8.25" customHeight="1">
      <c r="M845" s="29"/>
      <c r="N845" s="29"/>
      <c r="O845" s="29"/>
      <c r="P845" s="29"/>
      <c r="Q845" s="29"/>
      <c r="R845" s="29"/>
    </row>
    <row r="846" spans="13:18" ht="8.25" customHeight="1">
      <c r="M846" s="29"/>
      <c r="N846" s="29"/>
      <c r="O846" s="29"/>
      <c r="P846" s="29"/>
      <c r="Q846" s="29"/>
      <c r="R846" s="29"/>
    </row>
    <row r="847" spans="13:18" ht="8.25" customHeight="1">
      <c r="M847" s="29"/>
      <c r="N847" s="29"/>
      <c r="O847" s="29"/>
      <c r="P847" s="29"/>
      <c r="Q847" s="29"/>
      <c r="R847" s="29"/>
    </row>
    <row r="848" spans="13:18" ht="8.25" customHeight="1">
      <c r="M848" s="29"/>
      <c r="N848" s="29"/>
      <c r="O848" s="29"/>
      <c r="P848" s="29"/>
      <c r="Q848" s="29"/>
      <c r="R848" s="29"/>
    </row>
    <row r="849" spans="13:18" ht="8.25" customHeight="1">
      <c r="M849" s="29"/>
      <c r="N849" s="29"/>
      <c r="O849" s="29"/>
      <c r="P849" s="29"/>
      <c r="Q849" s="29"/>
      <c r="R849" s="29"/>
    </row>
    <row r="850" spans="13:18" ht="8.25" customHeight="1">
      <c r="M850" s="29"/>
      <c r="N850" s="29"/>
      <c r="O850" s="29"/>
      <c r="P850" s="29"/>
      <c r="Q850" s="29"/>
      <c r="R850" s="29"/>
    </row>
    <row r="851" spans="13:18" ht="8.25" customHeight="1">
      <c r="M851" s="29"/>
      <c r="N851" s="29"/>
      <c r="O851" s="29"/>
      <c r="P851" s="29"/>
      <c r="Q851" s="29"/>
      <c r="R851" s="29"/>
    </row>
    <row r="852" spans="13:18" ht="8.25" customHeight="1">
      <c r="M852" s="29"/>
      <c r="N852" s="29"/>
      <c r="O852" s="29"/>
      <c r="P852" s="29"/>
      <c r="Q852" s="29"/>
      <c r="R852" s="29"/>
    </row>
    <row r="853" spans="13:18" ht="8.25" customHeight="1">
      <c r="M853" s="29"/>
      <c r="N853" s="29"/>
      <c r="O853" s="29"/>
      <c r="P853" s="29"/>
      <c r="Q853" s="29"/>
      <c r="R853" s="29"/>
    </row>
    <row r="854" spans="13:18" ht="8.25" customHeight="1">
      <c r="M854" s="29"/>
      <c r="N854" s="29"/>
      <c r="O854" s="29"/>
      <c r="P854" s="29"/>
      <c r="Q854" s="29"/>
      <c r="R854" s="29"/>
    </row>
    <row r="855" spans="13:18" ht="8.25" customHeight="1">
      <c r="M855" s="29"/>
      <c r="N855" s="29"/>
      <c r="O855" s="29"/>
      <c r="P855" s="29"/>
      <c r="Q855" s="29"/>
      <c r="R855" s="29"/>
    </row>
    <row r="856" spans="13:18" ht="8.25" customHeight="1">
      <c r="M856" s="29"/>
      <c r="N856" s="29"/>
      <c r="O856" s="29"/>
      <c r="P856" s="29"/>
      <c r="Q856" s="29"/>
      <c r="R856" s="29"/>
    </row>
    <row r="857" spans="13:18" ht="8.25" customHeight="1">
      <c r="M857" s="29"/>
      <c r="N857" s="29"/>
      <c r="O857" s="29"/>
      <c r="P857" s="29"/>
      <c r="Q857" s="29"/>
      <c r="R857" s="29"/>
    </row>
    <row r="858" spans="13:18" ht="8.25" customHeight="1">
      <c r="M858" s="29"/>
      <c r="N858" s="29"/>
      <c r="O858" s="29"/>
      <c r="P858" s="29"/>
      <c r="Q858" s="29"/>
      <c r="R858" s="29"/>
    </row>
    <row r="859" spans="13:18" ht="8.25" customHeight="1">
      <c r="M859" s="29"/>
      <c r="N859" s="29"/>
      <c r="O859" s="29"/>
      <c r="P859" s="29"/>
      <c r="Q859" s="29"/>
      <c r="R859" s="29"/>
    </row>
    <row r="860" spans="13:18" ht="8.25" customHeight="1">
      <c r="M860" s="29"/>
      <c r="N860" s="29"/>
      <c r="O860" s="29"/>
      <c r="P860" s="29"/>
      <c r="Q860" s="29"/>
      <c r="R860" s="29"/>
    </row>
    <row r="861" spans="13:18" ht="8.25" customHeight="1">
      <c r="M861" s="29"/>
      <c r="N861" s="29"/>
      <c r="O861" s="29"/>
      <c r="P861" s="29"/>
      <c r="Q861" s="29"/>
      <c r="R861" s="29"/>
    </row>
    <row r="862" spans="13:18" ht="8.25" customHeight="1">
      <c r="M862" s="29"/>
      <c r="N862" s="29"/>
      <c r="O862" s="29"/>
      <c r="P862" s="29"/>
      <c r="Q862" s="29"/>
      <c r="R862" s="29"/>
    </row>
    <row r="863" spans="13:18" ht="8.25" customHeight="1">
      <c r="M863" s="29"/>
      <c r="N863" s="29"/>
      <c r="O863" s="29"/>
      <c r="P863" s="29"/>
      <c r="Q863" s="29"/>
      <c r="R863" s="29"/>
    </row>
    <row r="864" spans="13:18" ht="8.25" customHeight="1">
      <c r="M864" s="29"/>
      <c r="N864" s="29"/>
      <c r="O864" s="29"/>
      <c r="P864" s="29"/>
      <c r="Q864" s="29"/>
      <c r="R864" s="29"/>
    </row>
    <row r="865" spans="13:18" ht="8.25" customHeight="1">
      <c r="M865" s="29"/>
      <c r="N865" s="29"/>
      <c r="O865" s="29"/>
      <c r="P865" s="29"/>
      <c r="Q865" s="29"/>
      <c r="R865" s="29"/>
    </row>
    <row r="866" spans="13:18" ht="8.25" customHeight="1">
      <c r="M866" s="29"/>
      <c r="N866" s="29"/>
      <c r="O866" s="29"/>
      <c r="P866" s="29"/>
      <c r="Q866" s="29"/>
      <c r="R866" s="29"/>
    </row>
    <row r="867" spans="13:18" ht="8.25" customHeight="1">
      <c r="M867" s="29"/>
      <c r="N867" s="29"/>
      <c r="O867" s="29"/>
      <c r="P867" s="29"/>
      <c r="Q867" s="29"/>
      <c r="R867" s="29"/>
    </row>
    <row r="868" spans="13:18" ht="8.25" customHeight="1">
      <c r="M868" s="29"/>
      <c r="N868" s="29"/>
      <c r="O868" s="29"/>
      <c r="P868" s="29"/>
      <c r="Q868" s="29"/>
      <c r="R868" s="29"/>
    </row>
    <row r="869" spans="13:18" ht="8.25" customHeight="1">
      <c r="M869" s="29"/>
      <c r="N869" s="29"/>
      <c r="O869" s="29"/>
      <c r="P869" s="29"/>
      <c r="Q869" s="29"/>
      <c r="R869" s="29"/>
    </row>
    <row r="870" spans="13:18" ht="8.25" customHeight="1">
      <c r="M870" s="29"/>
      <c r="N870" s="29"/>
      <c r="O870" s="29"/>
      <c r="P870" s="29"/>
      <c r="Q870" s="29"/>
      <c r="R870" s="29"/>
    </row>
    <row r="871" spans="13:18" ht="8.25" customHeight="1">
      <c r="M871" s="29"/>
      <c r="N871" s="29"/>
      <c r="O871" s="29"/>
      <c r="P871" s="29"/>
      <c r="Q871" s="29"/>
      <c r="R871" s="29"/>
    </row>
    <row r="872" spans="13:18" ht="8.25" customHeight="1">
      <c r="M872" s="29"/>
      <c r="N872" s="29"/>
      <c r="O872" s="29"/>
      <c r="P872" s="29"/>
      <c r="Q872" s="29"/>
      <c r="R872" s="29"/>
    </row>
    <row r="873" spans="13:18" ht="8.25" customHeight="1">
      <c r="M873" s="29"/>
      <c r="N873" s="29"/>
      <c r="O873" s="29"/>
      <c r="P873" s="29"/>
      <c r="Q873" s="29"/>
      <c r="R873" s="29"/>
    </row>
    <row r="874" spans="13:18" ht="8.25" customHeight="1">
      <c r="M874" s="29"/>
      <c r="N874" s="29"/>
      <c r="O874" s="29"/>
      <c r="P874" s="29"/>
      <c r="Q874" s="29"/>
      <c r="R874" s="29"/>
    </row>
    <row r="875" spans="13:18" ht="8.25" customHeight="1">
      <c r="M875" s="29"/>
      <c r="N875" s="29"/>
      <c r="O875" s="29"/>
      <c r="P875" s="29"/>
      <c r="Q875" s="29"/>
      <c r="R875" s="29"/>
    </row>
    <row r="876" spans="13:18" ht="8.25" customHeight="1">
      <c r="M876" s="29"/>
      <c r="N876" s="29"/>
      <c r="O876" s="29"/>
      <c r="P876" s="29"/>
      <c r="Q876" s="29"/>
      <c r="R876" s="29"/>
    </row>
    <row r="877" spans="13:18" ht="8.25" customHeight="1">
      <c r="M877" s="29"/>
      <c r="N877" s="29"/>
      <c r="O877" s="29"/>
      <c r="P877" s="29"/>
      <c r="Q877" s="29"/>
      <c r="R877" s="29"/>
    </row>
    <row r="878" spans="13:18" ht="8.25" customHeight="1">
      <c r="M878" s="29"/>
      <c r="N878" s="29"/>
      <c r="O878" s="29"/>
      <c r="P878" s="29"/>
      <c r="Q878" s="29"/>
      <c r="R878" s="29"/>
    </row>
    <row r="879" spans="13:18" ht="8.25" customHeight="1">
      <c r="M879" s="29"/>
      <c r="N879" s="29"/>
      <c r="O879" s="29"/>
      <c r="P879" s="29"/>
      <c r="Q879" s="29"/>
      <c r="R879" s="29"/>
    </row>
    <row r="880" spans="13:18" ht="8.25" customHeight="1">
      <c r="M880" s="29"/>
      <c r="N880" s="29"/>
      <c r="O880" s="29"/>
      <c r="P880" s="29"/>
      <c r="Q880" s="29"/>
      <c r="R880" s="29"/>
    </row>
    <row r="881" spans="13:18" ht="8.25" customHeight="1">
      <c r="M881" s="29"/>
      <c r="N881" s="29"/>
      <c r="O881" s="29"/>
      <c r="P881" s="29"/>
      <c r="Q881" s="29"/>
      <c r="R881" s="29"/>
    </row>
    <row r="882" spans="13:18" ht="8.25" customHeight="1">
      <c r="M882" s="29"/>
      <c r="N882" s="29"/>
      <c r="O882" s="29"/>
      <c r="P882" s="29"/>
      <c r="Q882" s="29"/>
      <c r="R882" s="29"/>
    </row>
    <row r="883" spans="13:18" ht="8.25" customHeight="1">
      <c r="M883" s="29"/>
      <c r="N883" s="29"/>
      <c r="O883" s="29"/>
      <c r="P883" s="29"/>
      <c r="Q883" s="29"/>
      <c r="R883" s="29"/>
    </row>
    <row r="884" spans="13:18" ht="8.25" customHeight="1">
      <c r="M884" s="29"/>
      <c r="N884" s="29"/>
      <c r="O884" s="29"/>
      <c r="P884" s="29"/>
      <c r="Q884" s="29"/>
      <c r="R884" s="29"/>
    </row>
    <row r="885" spans="13:18" ht="8.25" customHeight="1">
      <c r="M885" s="29"/>
      <c r="N885" s="29"/>
      <c r="O885" s="29"/>
      <c r="P885" s="29"/>
      <c r="Q885" s="29"/>
      <c r="R885" s="29"/>
    </row>
    <row r="886" spans="13:18" ht="8.25" customHeight="1">
      <c r="M886" s="29"/>
      <c r="N886" s="29"/>
      <c r="O886" s="29"/>
      <c r="P886" s="29"/>
      <c r="Q886" s="29"/>
      <c r="R886" s="29"/>
    </row>
    <row r="887" spans="13:18" ht="8.25" customHeight="1">
      <c r="M887" s="29"/>
      <c r="N887" s="29"/>
      <c r="O887" s="29"/>
      <c r="P887" s="29"/>
      <c r="Q887" s="29"/>
      <c r="R887" s="29"/>
    </row>
    <row r="888" spans="13:18" ht="8.25" customHeight="1">
      <c r="M888" s="29"/>
      <c r="N888" s="29"/>
      <c r="O888" s="29"/>
      <c r="P888" s="29"/>
      <c r="Q888" s="29"/>
      <c r="R888" s="29"/>
    </row>
    <row r="889" spans="13:18" ht="8.25" customHeight="1">
      <c r="M889" s="29"/>
      <c r="N889" s="29"/>
      <c r="O889" s="29"/>
      <c r="P889" s="29"/>
      <c r="Q889" s="29"/>
      <c r="R889" s="29"/>
    </row>
    <row r="890" spans="13:18" ht="8.25" customHeight="1">
      <c r="M890" s="29"/>
      <c r="N890" s="29"/>
      <c r="O890" s="29"/>
      <c r="P890" s="29"/>
      <c r="Q890" s="29"/>
      <c r="R890" s="29"/>
    </row>
    <row r="891" spans="13:18" ht="8.25" customHeight="1">
      <c r="M891" s="29"/>
      <c r="N891" s="29"/>
      <c r="O891" s="29"/>
      <c r="P891" s="29"/>
      <c r="Q891" s="29"/>
      <c r="R891" s="29"/>
    </row>
    <row r="892" spans="13:18" ht="8.25" customHeight="1">
      <c r="M892" s="29"/>
      <c r="N892" s="29"/>
      <c r="O892" s="29"/>
      <c r="P892" s="29"/>
      <c r="Q892" s="29"/>
      <c r="R892" s="29"/>
    </row>
    <row r="893" spans="13:18" ht="8.25" customHeight="1">
      <c r="M893" s="29"/>
      <c r="N893" s="29"/>
      <c r="O893" s="29"/>
      <c r="P893" s="29"/>
      <c r="Q893" s="29"/>
      <c r="R893" s="29"/>
    </row>
    <row r="894" spans="13:18" ht="8.25" customHeight="1">
      <c r="M894" s="29"/>
      <c r="N894" s="29"/>
      <c r="O894" s="29"/>
      <c r="P894" s="29"/>
      <c r="Q894" s="29"/>
      <c r="R894" s="29"/>
    </row>
    <row r="895" spans="13:18" ht="8.25" customHeight="1">
      <c r="M895" s="29"/>
      <c r="N895" s="29"/>
      <c r="O895" s="29"/>
      <c r="P895" s="29"/>
      <c r="Q895" s="29"/>
      <c r="R895" s="29"/>
    </row>
    <row r="896" spans="13:18" ht="8.25" customHeight="1">
      <c r="M896" s="29"/>
      <c r="N896" s="29"/>
      <c r="O896" s="29"/>
      <c r="P896" s="29"/>
      <c r="Q896" s="29"/>
      <c r="R896" s="29"/>
    </row>
    <row r="897" spans="13:18" ht="8.25" customHeight="1">
      <c r="M897" s="29"/>
      <c r="N897" s="29"/>
      <c r="O897" s="29"/>
      <c r="P897" s="29"/>
      <c r="Q897" s="29"/>
      <c r="R897" s="29"/>
    </row>
    <row r="898" spans="13:18" ht="8.25" customHeight="1">
      <c r="M898" s="29"/>
      <c r="N898" s="29"/>
      <c r="O898" s="29"/>
      <c r="P898" s="29"/>
      <c r="Q898" s="29"/>
      <c r="R898" s="29"/>
    </row>
    <row r="899" spans="13:18" ht="8.25" customHeight="1">
      <c r="M899" s="29"/>
      <c r="N899" s="29"/>
      <c r="O899" s="29"/>
      <c r="P899" s="29"/>
      <c r="Q899" s="29"/>
      <c r="R899" s="29"/>
    </row>
    <row r="900" spans="13:18" ht="8.25" customHeight="1">
      <c r="M900" s="29"/>
      <c r="N900" s="29"/>
      <c r="O900" s="29"/>
      <c r="P900" s="29"/>
      <c r="Q900" s="29"/>
      <c r="R900" s="29"/>
    </row>
    <row r="901" spans="13:18" ht="8.25" customHeight="1">
      <c r="M901" s="29"/>
      <c r="N901" s="29"/>
      <c r="O901" s="29"/>
      <c r="P901" s="29"/>
      <c r="Q901" s="29"/>
      <c r="R901" s="29"/>
    </row>
    <row r="902" spans="13:18" ht="8.25" customHeight="1">
      <c r="M902" s="29"/>
      <c r="N902" s="29"/>
      <c r="O902" s="29"/>
      <c r="P902" s="29"/>
      <c r="Q902" s="29"/>
      <c r="R902" s="29"/>
    </row>
    <row r="903" spans="13:18" ht="8.25" customHeight="1">
      <c r="M903" s="29"/>
      <c r="N903" s="29"/>
      <c r="O903" s="29"/>
      <c r="P903" s="29"/>
      <c r="Q903" s="29"/>
      <c r="R903" s="29"/>
    </row>
    <row r="904" spans="13:18" ht="8.25" customHeight="1">
      <c r="M904" s="29"/>
      <c r="N904" s="29"/>
      <c r="O904" s="29"/>
      <c r="P904" s="29"/>
      <c r="Q904" s="29"/>
      <c r="R904" s="29"/>
    </row>
    <row r="905" spans="13:18" ht="8.25" customHeight="1">
      <c r="M905" s="29"/>
      <c r="N905" s="29"/>
      <c r="O905" s="29"/>
      <c r="P905" s="29"/>
      <c r="Q905" s="29"/>
      <c r="R905" s="29"/>
    </row>
    <row r="906" spans="13:18" ht="8.25" customHeight="1">
      <c r="M906" s="29"/>
      <c r="N906" s="29"/>
      <c r="O906" s="29"/>
      <c r="P906" s="29"/>
      <c r="Q906" s="29"/>
      <c r="R906" s="29"/>
    </row>
    <row r="907" spans="13:18" ht="8.25" customHeight="1">
      <c r="M907" s="29"/>
      <c r="N907" s="29"/>
      <c r="O907" s="29"/>
      <c r="P907" s="29"/>
      <c r="Q907" s="29"/>
      <c r="R907" s="29"/>
    </row>
    <row r="908" spans="13:18" ht="8.25" customHeight="1">
      <c r="M908" s="29"/>
      <c r="N908" s="29"/>
      <c r="O908" s="29"/>
      <c r="P908" s="29"/>
      <c r="Q908" s="29"/>
      <c r="R908" s="29"/>
    </row>
    <row r="909" spans="13:18" ht="8.25" customHeight="1">
      <c r="M909" s="29"/>
      <c r="N909" s="29"/>
      <c r="O909" s="29"/>
      <c r="P909" s="29"/>
      <c r="Q909" s="29"/>
      <c r="R909" s="29"/>
    </row>
    <row r="910" spans="13:18" ht="8.25" customHeight="1">
      <c r="M910" s="29"/>
      <c r="N910" s="29"/>
      <c r="O910" s="29"/>
      <c r="P910" s="29"/>
      <c r="Q910" s="29"/>
      <c r="R910" s="29"/>
    </row>
    <row r="911" spans="13:18" ht="8.25" customHeight="1">
      <c r="M911" s="29"/>
      <c r="N911" s="29"/>
      <c r="O911" s="29"/>
      <c r="P911" s="29"/>
      <c r="Q911" s="29"/>
      <c r="R911" s="29"/>
    </row>
    <row r="912" spans="13:18" ht="8.25" customHeight="1">
      <c r="M912" s="29"/>
      <c r="N912" s="29"/>
      <c r="O912" s="29"/>
      <c r="P912" s="29"/>
      <c r="Q912" s="29"/>
      <c r="R912" s="29"/>
    </row>
    <row r="913" spans="13:18" ht="8.25" customHeight="1">
      <c r="M913" s="29"/>
      <c r="N913" s="29"/>
      <c r="O913" s="29"/>
      <c r="P913" s="29"/>
      <c r="Q913" s="29"/>
      <c r="R913" s="29"/>
    </row>
    <row r="914" spans="13:18" ht="8.25" customHeight="1">
      <c r="M914" s="29"/>
      <c r="N914" s="29"/>
      <c r="O914" s="29"/>
      <c r="P914" s="29"/>
      <c r="Q914" s="29"/>
      <c r="R914" s="29"/>
    </row>
    <row r="915" spans="13:18" ht="8.25" customHeight="1">
      <c r="M915" s="29"/>
      <c r="N915" s="29"/>
      <c r="O915" s="29"/>
      <c r="P915" s="29"/>
      <c r="Q915" s="29"/>
      <c r="R915" s="29"/>
    </row>
    <row r="916" spans="13:18" ht="8.25" customHeight="1">
      <c r="M916" s="29"/>
      <c r="N916" s="29"/>
      <c r="O916" s="29"/>
      <c r="P916" s="29"/>
      <c r="Q916" s="29"/>
      <c r="R916" s="29"/>
    </row>
    <row r="917" spans="13:18" ht="8.25" customHeight="1">
      <c r="M917" s="29"/>
      <c r="N917" s="29"/>
      <c r="O917" s="29"/>
      <c r="P917" s="29"/>
      <c r="Q917" s="29"/>
      <c r="R917" s="29"/>
    </row>
    <row r="918" spans="13:18" ht="8.25" customHeight="1">
      <c r="M918" s="29"/>
      <c r="N918" s="29"/>
      <c r="O918" s="29"/>
      <c r="P918" s="29"/>
      <c r="Q918" s="29"/>
      <c r="R918" s="29"/>
    </row>
    <row r="919" spans="13:18" ht="8.25" customHeight="1">
      <c r="M919" s="29"/>
      <c r="N919" s="29"/>
      <c r="O919" s="29"/>
      <c r="P919" s="29"/>
      <c r="Q919" s="29"/>
      <c r="R919" s="29"/>
    </row>
    <row r="920" spans="13:18" ht="8.25" customHeight="1">
      <c r="M920" s="29"/>
      <c r="N920" s="29"/>
      <c r="O920" s="29"/>
      <c r="P920" s="29"/>
      <c r="Q920" s="29"/>
      <c r="R920" s="29"/>
    </row>
    <row r="921" spans="13:18" ht="8.25" customHeight="1">
      <c r="M921" s="29"/>
      <c r="N921" s="29"/>
      <c r="O921" s="29"/>
      <c r="P921" s="29"/>
      <c r="Q921" s="29"/>
      <c r="R921" s="29"/>
    </row>
    <row r="922" spans="13:18" ht="8.25" customHeight="1">
      <c r="M922" s="29"/>
      <c r="N922" s="29"/>
      <c r="O922" s="29"/>
      <c r="P922" s="29"/>
      <c r="Q922" s="29"/>
      <c r="R922" s="29"/>
    </row>
    <row r="923" spans="13:18" ht="8.25" customHeight="1">
      <c r="M923" s="29"/>
      <c r="N923" s="29"/>
      <c r="O923" s="29"/>
      <c r="P923" s="29"/>
      <c r="Q923" s="29"/>
      <c r="R923" s="29"/>
    </row>
    <row r="924" spans="13:18" ht="8.25" customHeight="1">
      <c r="M924" s="29"/>
      <c r="N924" s="29"/>
      <c r="O924" s="29"/>
      <c r="P924" s="29"/>
      <c r="Q924" s="29"/>
      <c r="R924" s="29"/>
    </row>
    <row r="925" spans="13:18" ht="8.25" customHeight="1">
      <c r="M925" s="29"/>
      <c r="N925" s="29"/>
      <c r="O925" s="29"/>
      <c r="P925" s="29"/>
      <c r="Q925" s="29"/>
      <c r="R925" s="29"/>
    </row>
    <row r="926" spans="13:18" ht="8.25" customHeight="1">
      <c r="M926" s="29"/>
      <c r="N926" s="29"/>
      <c r="O926" s="29"/>
      <c r="P926" s="29"/>
      <c r="Q926" s="29"/>
      <c r="R926" s="29"/>
    </row>
    <row r="927" spans="13:18" ht="8.25" customHeight="1">
      <c r="M927" s="29"/>
      <c r="N927" s="29"/>
      <c r="O927" s="29"/>
      <c r="P927" s="29"/>
      <c r="Q927" s="29"/>
      <c r="R927" s="29"/>
    </row>
    <row r="928" spans="13:18" ht="8.25" customHeight="1">
      <c r="M928" s="29"/>
      <c r="N928" s="29"/>
      <c r="O928" s="29"/>
      <c r="P928" s="29"/>
      <c r="Q928" s="29"/>
      <c r="R928" s="29"/>
    </row>
    <row r="929" spans="13:18" ht="8.25" customHeight="1">
      <c r="M929" s="29"/>
      <c r="N929" s="29"/>
      <c r="O929" s="29"/>
      <c r="P929" s="29"/>
      <c r="Q929" s="29"/>
      <c r="R929" s="29"/>
    </row>
    <row r="930" spans="13:18" ht="8.25" customHeight="1">
      <c r="M930" s="29"/>
      <c r="N930" s="29"/>
      <c r="O930" s="29"/>
      <c r="P930" s="29"/>
      <c r="Q930" s="29"/>
      <c r="R930" s="29"/>
    </row>
    <row r="931" spans="13:18" ht="8.25" customHeight="1">
      <c r="M931" s="29"/>
      <c r="N931" s="29"/>
      <c r="O931" s="29"/>
      <c r="P931" s="29"/>
      <c r="Q931" s="29"/>
      <c r="R931" s="29"/>
    </row>
    <row r="932" spans="13:18" ht="8.25" customHeight="1">
      <c r="M932" s="29"/>
      <c r="N932" s="29"/>
      <c r="O932" s="29"/>
      <c r="P932" s="29"/>
      <c r="Q932" s="29"/>
      <c r="R932" s="29"/>
    </row>
    <row r="933" spans="13:18" ht="8.25" customHeight="1">
      <c r="M933" s="29"/>
      <c r="N933" s="29"/>
      <c r="O933" s="29"/>
      <c r="P933" s="29"/>
      <c r="Q933" s="29"/>
      <c r="R933" s="29"/>
    </row>
    <row r="934" spans="13:18" ht="8.25" customHeight="1">
      <c r="M934" s="29"/>
      <c r="N934" s="29"/>
      <c r="O934" s="29"/>
      <c r="P934" s="29"/>
      <c r="Q934" s="29"/>
      <c r="R934" s="29"/>
    </row>
    <row r="935" spans="13:18" ht="8.25" customHeight="1">
      <c r="M935" s="29"/>
      <c r="N935" s="29"/>
      <c r="O935" s="29"/>
      <c r="P935" s="29"/>
      <c r="Q935" s="29"/>
      <c r="R935" s="29"/>
    </row>
    <row r="936" spans="13:18" ht="8.25" customHeight="1">
      <c r="M936" s="29"/>
      <c r="N936" s="29"/>
      <c r="O936" s="29"/>
      <c r="P936" s="29"/>
      <c r="Q936" s="29"/>
      <c r="R936" s="29"/>
    </row>
    <row r="937" spans="13:18" ht="8.25" customHeight="1">
      <c r="M937" s="29"/>
      <c r="N937" s="29"/>
      <c r="O937" s="29"/>
      <c r="P937" s="29"/>
      <c r="Q937" s="29"/>
      <c r="R937" s="29"/>
    </row>
    <row r="938" spans="13:18" ht="8.25" customHeight="1">
      <c r="M938" s="29"/>
      <c r="N938" s="29"/>
      <c r="O938" s="29"/>
      <c r="P938" s="29"/>
      <c r="Q938" s="29"/>
      <c r="R938" s="29"/>
    </row>
    <row r="939" spans="13:18" ht="8.25" customHeight="1">
      <c r="M939" s="29"/>
      <c r="N939" s="29"/>
      <c r="O939" s="29"/>
      <c r="P939" s="29"/>
      <c r="Q939" s="29"/>
      <c r="R939" s="29"/>
    </row>
    <row r="940" spans="13:18" ht="8.25" customHeight="1">
      <c r="M940" s="29"/>
      <c r="N940" s="29"/>
      <c r="O940" s="29"/>
      <c r="P940" s="29"/>
      <c r="Q940" s="29"/>
      <c r="R940" s="29"/>
    </row>
    <row r="941" spans="13:18" ht="8.25" customHeight="1">
      <c r="M941" s="29"/>
      <c r="N941" s="29"/>
      <c r="O941" s="29"/>
      <c r="P941" s="29"/>
      <c r="Q941" s="29"/>
      <c r="R941" s="29"/>
    </row>
    <row r="942" spans="13:18" ht="8.25" customHeight="1">
      <c r="M942" s="29"/>
      <c r="N942" s="29"/>
      <c r="O942" s="29"/>
      <c r="P942" s="29"/>
      <c r="Q942" s="29"/>
      <c r="R942" s="29"/>
    </row>
    <row r="943" spans="13:18" ht="8.25" customHeight="1">
      <c r="M943" s="29"/>
      <c r="N943" s="29"/>
      <c r="O943" s="29"/>
      <c r="P943" s="29"/>
      <c r="Q943" s="29"/>
      <c r="R943" s="29"/>
    </row>
    <row r="944" spans="13:18" ht="8.25" customHeight="1">
      <c r="M944" s="29"/>
      <c r="N944" s="29"/>
      <c r="O944" s="29"/>
      <c r="P944" s="29"/>
      <c r="Q944" s="29"/>
      <c r="R944" s="29"/>
    </row>
    <row r="945" spans="13:18" ht="8.25" customHeight="1">
      <c r="M945" s="29"/>
      <c r="N945" s="29"/>
      <c r="O945" s="29"/>
      <c r="P945" s="29"/>
      <c r="Q945" s="29"/>
      <c r="R945" s="29"/>
    </row>
    <row r="946" spans="13:18" ht="8.25" customHeight="1">
      <c r="M946" s="29"/>
      <c r="N946" s="29"/>
      <c r="O946" s="29"/>
      <c r="P946" s="29"/>
      <c r="Q946" s="29"/>
      <c r="R946" s="29"/>
    </row>
    <row r="947" spans="13:18" ht="8.25" customHeight="1">
      <c r="M947" s="29"/>
      <c r="N947" s="29"/>
      <c r="O947" s="29"/>
      <c r="P947" s="29"/>
      <c r="Q947" s="29"/>
      <c r="R947" s="29"/>
    </row>
    <row r="948" spans="13:18" ht="8.25" customHeight="1">
      <c r="M948" s="29"/>
      <c r="N948" s="29"/>
      <c r="O948" s="29"/>
      <c r="P948" s="29"/>
      <c r="Q948" s="29"/>
      <c r="R948" s="29"/>
    </row>
    <row r="949" spans="13:18" ht="8.25" customHeight="1">
      <c r="M949" s="29"/>
      <c r="N949" s="29"/>
      <c r="O949" s="29"/>
      <c r="P949" s="29"/>
      <c r="Q949" s="29"/>
      <c r="R949" s="29"/>
    </row>
    <row r="950" spans="13:18" ht="8.25" customHeight="1">
      <c r="M950" s="29"/>
      <c r="N950" s="29"/>
      <c r="O950" s="29"/>
      <c r="P950" s="29"/>
      <c r="Q950" s="29"/>
      <c r="R950" s="29"/>
    </row>
    <row r="951" spans="13:18" ht="8.25" customHeight="1">
      <c r="M951" s="29"/>
      <c r="N951" s="29"/>
      <c r="O951" s="29"/>
      <c r="P951" s="29"/>
      <c r="Q951" s="29"/>
      <c r="R951" s="29"/>
    </row>
    <row r="952" spans="13:18" ht="8.25" customHeight="1">
      <c r="M952" s="29"/>
      <c r="N952" s="29"/>
      <c r="O952" s="29"/>
      <c r="P952" s="29"/>
      <c r="Q952" s="29"/>
      <c r="R952" s="29"/>
    </row>
    <row r="953" spans="13:18" ht="8.25" customHeight="1">
      <c r="M953" s="29"/>
      <c r="N953" s="29"/>
      <c r="O953" s="29"/>
      <c r="P953" s="29"/>
      <c r="Q953" s="29"/>
      <c r="R953" s="29"/>
    </row>
    <row r="954" spans="13:18" ht="8.25" customHeight="1">
      <c r="M954" s="29"/>
      <c r="N954" s="29"/>
      <c r="O954" s="29"/>
      <c r="P954" s="29"/>
      <c r="Q954" s="29"/>
      <c r="R954" s="29"/>
    </row>
    <row r="955" spans="13:18" ht="8.25" customHeight="1">
      <c r="M955" s="29"/>
      <c r="N955" s="29"/>
      <c r="O955" s="29"/>
      <c r="P955" s="29"/>
      <c r="Q955" s="29"/>
      <c r="R955" s="29"/>
    </row>
    <row r="956" spans="13:18" ht="8.25" customHeight="1">
      <c r="M956" s="29"/>
      <c r="N956" s="29"/>
      <c r="O956" s="29"/>
      <c r="P956" s="29"/>
      <c r="Q956" s="29"/>
      <c r="R956" s="29"/>
    </row>
    <row r="957" spans="13:18" ht="8.25" customHeight="1">
      <c r="M957" s="29"/>
      <c r="N957" s="29"/>
      <c r="O957" s="29"/>
      <c r="P957" s="29"/>
      <c r="Q957" s="29"/>
      <c r="R957" s="29"/>
    </row>
    <row r="958" spans="13:18" ht="8.25" customHeight="1">
      <c r="M958" s="29"/>
      <c r="N958" s="29"/>
      <c r="O958" s="29"/>
      <c r="P958" s="29"/>
      <c r="Q958" s="29"/>
      <c r="R958" s="29"/>
    </row>
    <row r="959" spans="13:18" ht="8.25" customHeight="1">
      <c r="M959" s="29"/>
      <c r="N959" s="29"/>
      <c r="O959" s="29"/>
      <c r="P959" s="29"/>
      <c r="Q959" s="29"/>
      <c r="R959" s="29"/>
    </row>
    <row r="960" spans="13:18" ht="8.25" customHeight="1">
      <c r="M960" s="29"/>
      <c r="N960" s="29"/>
      <c r="O960" s="29"/>
      <c r="P960" s="29"/>
      <c r="Q960" s="29"/>
      <c r="R960" s="29"/>
    </row>
    <row r="961" spans="13:18" ht="8.25" customHeight="1">
      <c r="M961" s="29"/>
      <c r="N961" s="29"/>
      <c r="O961" s="29"/>
      <c r="P961" s="29"/>
      <c r="Q961" s="29"/>
      <c r="R961" s="29"/>
    </row>
    <row r="962" spans="13:18" ht="8.25" customHeight="1">
      <c r="M962" s="29"/>
      <c r="N962" s="29"/>
      <c r="O962" s="29"/>
      <c r="P962" s="29"/>
      <c r="Q962" s="29"/>
      <c r="R962" s="29"/>
    </row>
    <row r="963" spans="13:18" ht="8.25" customHeight="1">
      <c r="M963" s="29"/>
      <c r="N963" s="29"/>
      <c r="O963" s="29"/>
      <c r="P963" s="29"/>
      <c r="Q963" s="29"/>
      <c r="R963" s="29"/>
    </row>
    <row r="964" spans="13:18" ht="8.25" customHeight="1">
      <c r="M964" s="29"/>
      <c r="N964" s="29"/>
      <c r="O964" s="29"/>
      <c r="P964" s="29"/>
      <c r="Q964" s="29"/>
      <c r="R964" s="29"/>
    </row>
    <row r="965" spans="13:18" ht="8.25" customHeight="1">
      <c r="M965" s="29"/>
      <c r="N965" s="29"/>
      <c r="O965" s="29"/>
      <c r="P965" s="29"/>
      <c r="Q965" s="29"/>
      <c r="R965" s="29"/>
    </row>
    <row r="966" spans="13:18" ht="8.25" customHeight="1">
      <c r="M966" s="29"/>
      <c r="N966" s="29"/>
      <c r="O966" s="29"/>
      <c r="P966" s="29"/>
      <c r="Q966" s="29"/>
      <c r="R966" s="29"/>
    </row>
    <row r="967" spans="13:18" ht="8.25" customHeight="1">
      <c r="M967" s="29"/>
      <c r="N967" s="29"/>
      <c r="O967" s="29"/>
      <c r="P967" s="29"/>
      <c r="Q967" s="29"/>
      <c r="R967" s="29"/>
    </row>
    <row r="968" spans="13:18" ht="8.25" customHeight="1">
      <c r="M968" s="29"/>
      <c r="N968" s="29"/>
      <c r="O968" s="29"/>
      <c r="P968" s="29"/>
      <c r="Q968" s="29"/>
      <c r="R968" s="29"/>
    </row>
    <row r="969" spans="13:18" ht="8.25" customHeight="1">
      <c r="M969" s="29"/>
      <c r="N969" s="29"/>
      <c r="O969" s="29"/>
      <c r="P969" s="29"/>
      <c r="Q969" s="29"/>
      <c r="R969" s="29"/>
    </row>
    <row r="970" spans="13:18" ht="8.25" customHeight="1">
      <c r="M970" s="29"/>
      <c r="N970" s="29"/>
      <c r="O970" s="29"/>
      <c r="P970" s="29"/>
      <c r="Q970" s="29"/>
      <c r="R970" s="29"/>
    </row>
    <row r="971" spans="13:18" ht="8.25" customHeight="1">
      <c r="M971" s="29"/>
      <c r="N971" s="29"/>
      <c r="O971" s="29"/>
      <c r="P971" s="29"/>
      <c r="Q971" s="29"/>
      <c r="R971" s="29"/>
    </row>
    <row r="972" spans="13:18" ht="8.25" customHeight="1">
      <c r="M972" s="29"/>
      <c r="N972" s="29"/>
      <c r="O972" s="29"/>
      <c r="P972" s="29"/>
      <c r="Q972" s="29"/>
      <c r="R972" s="29"/>
    </row>
    <row r="973" spans="13:18" ht="8.25" customHeight="1">
      <c r="M973" s="29"/>
      <c r="N973" s="29"/>
      <c r="O973" s="29"/>
      <c r="P973" s="29"/>
      <c r="Q973" s="29"/>
      <c r="R973" s="29"/>
    </row>
    <row r="974" spans="13:18" ht="8.25" customHeight="1">
      <c r="M974" s="29"/>
      <c r="N974" s="29"/>
      <c r="O974" s="29"/>
      <c r="P974" s="29"/>
      <c r="Q974" s="29"/>
      <c r="R974" s="29"/>
    </row>
    <row r="975" spans="13:18" ht="8.25" customHeight="1">
      <c r="M975" s="29"/>
      <c r="N975" s="29"/>
      <c r="O975" s="29"/>
      <c r="P975" s="29"/>
      <c r="Q975" s="29"/>
      <c r="R975" s="29"/>
    </row>
    <row r="976" spans="13:18" ht="8.25" customHeight="1">
      <c r="M976" s="29"/>
      <c r="N976" s="29"/>
      <c r="O976" s="29"/>
      <c r="P976" s="29"/>
      <c r="Q976" s="29"/>
      <c r="R976" s="29"/>
    </row>
    <row r="977" spans="13:18" ht="8.25" customHeight="1">
      <c r="M977" s="29"/>
      <c r="N977" s="29"/>
      <c r="O977" s="29"/>
      <c r="P977" s="29"/>
      <c r="Q977" s="29"/>
      <c r="R977" s="29"/>
    </row>
    <row r="978" spans="13:18" ht="8.25" customHeight="1">
      <c r="M978" s="29"/>
      <c r="N978" s="29"/>
      <c r="O978" s="29"/>
      <c r="P978" s="29"/>
      <c r="Q978" s="29"/>
      <c r="R978" s="29"/>
    </row>
    <row r="979" spans="13:18" ht="8.25" customHeight="1">
      <c r="M979" s="29"/>
      <c r="N979" s="29"/>
      <c r="O979" s="29"/>
      <c r="P979" s="29"/>
      <c r="Q979" s="29"/>
      <c r="R979" s="29"/>
    </row>
    <row r="980" spans="13:18" ht="8.25" customHeight="1">
      <c r="M980" s="29"/>
      <c r="N980" s="29"/>
      <c r="O980" s="29"/>
      <c r="P980" s="29"/>
      <c r="Q980" s="29"/>
      <c r="R980" s="29"/>
    </row>
    <row r="981" spans="13:18" ht="8.25" customHeight="1">
      <c r="M981" s="29"/>
      <c r="N981" s="29"/>
      <c r="O981" s="29"/>
      <c r="P981" s="29"/>
      <c r="Q981" s="29"/>
      <c r="R981" s="29"/>
    </row>
    <row r="982" spans="13:18" ht="8.25" customHeight="1">
      <c r="M982" s="29"/>
      <c r="N982" s="29"/>
      <c r="O982" s="29"/>
      <c r="P982" s="29"/>
      <c r="Q982" s="29"/>
      <c r="R982" s="29"/>
    </row>
    <row r="983" spans="13:18" ht="8.25" customHeight="1">
      <c r="M983" s="29"/>
      <c r="N983" s="29"/>
      <c r="O983" s="29"/>
      <c r="P983" s="29"/>
      <c r="Q983" s="29"/>
      <c r="R983" s="29"/>
    </row>
    <row r="984" spans="13:18" ht="8.25" customHeight="1">
      <c r="M984" s="29"/>
      <c r="N984" s="29"/>
      <c r="O984" s="29"/>
      <c r="P984" s="29"/>
      <c r="Q984" s="29"/>
      <c r="R984" s="29"/>
    </row>
    <row r="985" spans="13:18" ht="8.25" customHeight="1">
      <c r="M985" s="29"/>
      <c r="N985" s="29"/>
      <c r="O985" s="29"/>
      <c r="P985" s="29"/>
      <c r="Q985" s="29"/>
      <c r="R985" s="29"/>
    </row>
    <row r="986" spans="13:18" ht="8.25" customHeight="1">
      <c r="M986" s="29"/>
      <c r="N986" s="29"/>
      <c r="O986" s="29"/>
      <c r="P986" s="29"/>
      <c r="Q986" s="29"/>
      <c r="R986" s="29"/>
    </row>
    <row r="987" ht="8.25" customHeight="1"/>
    <row r="988" ht="8.25" customHeight="1"/>
    <row r="989" ht="8.25" customHeight="1"/>
    <row r="990" ht="8.25" customHeight="1"/>
    <row r="991" ht="8.25" customHeight="1"/>
    <row r="992" ht="8.25" customHeight="1"/>
    <row r="993" ht="8.25" customHeight="1"/>
    <row r="994" ht="8.25" customHeight="1"/>
    <row r="995" ht="8.25" customHeight="1"/>
    <row r="996" ht="8.25" customHeight="1"/>
    <row r="997" ht="8.25" customHeight="1"/>
    <row r="998" ht="8.25" customHeight="1"/>
    <row r="999" ht="8.25" customHeight="1"/>
    <row r="1000" ht="8.25" customHeight="1"/>
    <row r="1001" ht="8.25" customHeight="1"/>
    <row r="1002" ht="8.25" customHeight="1"/>
    <row r="1003" ht="8.25" customHeight="1"/>
    <row r="1004" ht="8.25" customHeight="1"/>
    <row r="1005" ht="8.25" customHeight="1"/>
    <row r="1006" ht="8.25" customHeight="1"/>
    <row r="1007" ht="8.25" customHeight="1"/>
    <row r="1008" ht="8.25" customHeight="1"/>
    <row r="1009" ht="8.25" customHeight="1"/>
    <row r="1010" ht="8.25" customHeight="1"/>
    <row r="1011" ht="8.25" customHeight="1"/>
    <row r="1012" ht="8.25" customHeight="1"/>
    <row r="1013" ht="8.25" customHeight="1"/>
    <row r="1014" ht="8.25" customHeight="1"/>
    <row r="1015" ht="8.25" customHeight="1"/>
    <row r="1016" ht="8.25" customHeight="1"/>
    <row r="1017" ht="8.25" customHeight="1"/>
    <row r="1018" ht="8.25" customHeight="1"/>
    <row r="1019" ht="8.25" customHeight="1"/>
    <row r="1020" ht="8.25" customHeight="1"/>
    <row r="1021" ht="8.25" customHeight="1"/>
    <row r="1022" ht="8.25" customHeight="1"/>
    <row r="1023" ht="8.25" customHeight="1"/>
    <row r="1024" ht="8.25" customHeight="1"/>
    <row r="1025" ht="8.25" customHeight="1"/>
    <row r="1026" ht="8.25" customHeight="1"/>
    <row r="1027" ht="8.25" customHeight="1"/>
    <row r="1028" ht="8.25" customHeight="1"/>
    <row r="1029" ht="8.25" customHeight="1"/>
    <row r="1030" ht="8.25" customHeight="1"/>
    <row r="1031" ht="8.25" customHeight="1"/>
    <row r="1032" ht="8.25" customHeight="1"/>
    <row r="1033" ht="8.25" customHeight="1"/>
    <row r="1034" ht="8.25" customHeight="1"/>
    <row r="1035" ht="8.25" customHeight="1"/>
    <row r="1036" ht="8.25" customHeight="1"/>
    <row r="1037" ht="8.25" customHeight="1"/>
    <row r="1038" ht="8.25" customHeight="1"/>
    <row r="1039" ht="8.25" customHeight="1"/>
    <row r="1040" ht="8.25" customHeight="1"/>
    <row r="1041" ht="8.25" customHeight="1"/>
    <row r="1042" ht="8.25" customHeight="1"/>
    <row r="1043" ht="8.25" customHeight="1"/>
    <row r="1044" ht="8.25" customHeight="1"/>
    <row r="1045" ht="8.25" customHeight="1"/>
    <row r="1046" ht="8.25" customHeight="1"/>
    <row r="1047" ht="8.25" customHeight="1"/>
    <row r="1048" ht="8.25" customHeight="1"/>
    <row r="1049" ht="8.25" customHeight="1"/>
    <row r="1050" ht="8.25" customHeight="1"/>
    <row r="1051" ht="8.25" customHeight="1"/>
    <row r="1052" ht="8.25" customHeight="1"/>
    <row r="1053" ht="8.25" customHeight="1"/>
    <row r="1054" ht="8.25" customHeight="1"/>
    <row r="1055" ht="8.25" customHeight="1"/>
    <row r="1056" ht="8.25" customHeight="1"/>
    <row r="1057" ht="8.25" customHeight="1"/>
    <row r="1058" ht="8.25" customHeight="1"/>
    <row r="1059" ht="8.25" customHeight="1"/>
    <row r="1060" ht="8.25" customHeight="1"/>
    <row r="1061" ht="8.25" customHeight="1"/>
    <row r="1062" ht="8.25" customHeight="1"/>
    <row r="1063" ht="8.25" customHeight="1"/>
    <row r="1064" ht="8.25" customHeight="1"/>
    <row r="1065" ht="8.25" customHeight="1"/>
    <row r="1066" ht="8.25" customHeight="1"/>
    <row r="1067" ht="8.25" customHeight="1"/>
    <row r="1068" ht="8.25" customHeight="1"/>
    <row r="1069" ht="8.25" customHeight="1"/>
    <row r="1070" ht="8.25" customHeight="1"/>
    <row r="1071" ht="8.25" customHeight="1"/>
    <row r="1072" ht="8.25" customHeight="1"/>
    <row r="1073" ht="8.25" customHeight="1"/>
    <row r="1074" ht="8.25" customHeight="1"/>
    <row r="1075" ht="8.25" customHeight="1"/>
    <row r="1076" ht="8.25" customHeight="1"/>
    <row r="1077" ht="8.25" customHeight="1"/>
    <row r="1078" ht="8.25" customHeight="1"/>
    <row r="1079" ht="8.25" customHeight="1"/>
    <row r="1080" ht="8.25" customHeight="1"/>
    <row r="1081" ht="8.25" customHeight="1"/>
    <row r="1082" ht="8.25" customHeight="1"/>
    <row r="1083" ht="8.25" customHeight="1"/>
    <row r="1084" ht="8.25" customHeight="1"/>
    <row r="1085" ht="8.25" customHeight="1"/>
    <row r="1086" ht="8.25" customHeight="1"/>
    <row r="1087" ht="8.25" customHeight="1"/>
    <row r="1088" ht="8.25" customHeight="1"/>
    <row r="1089" ht="8.25" customHeight="1"/>
    <row r="1090" ht="8.25" customHeight="1"/>
    <row r="1091" ht="8.25" customHeight="1"/>
    <row r="1092" ht="8.25" customHeight="1"/>
    <row r="1093" ht="8.25" customHeight="1"/>
    <row r="1094" ht="8.25" customHeight="1"/>
    <row r="1095" ht="8.25" customHeight="1"/>
    <row r="1096" ht="8.25" customHeight="1"/>
    <row r="1097" ht="8.25" customHeight="1"/>
    <row r="1098" ht="8.25" customHeight="1"/>
    <row r="1099" ht="8.25" customHeight="1"/>
    <row r="1100" ht="8.25" customHeight="1"/>
    <row r="1101" ht="8.25" customHeight="1"/>
    <row r="1102" ht="8.25" customHeight="1"/>
    <row r="1103" ht="8.25" customHeight="1"/>
    <row r="1104" ht="8.25" customHeight="1"/>
    <row r="1105" ht="8.25" customHeight="1"/>
    <row r="1106" ht="8.25" customHeight="1"/>
    <row r="1107" ht="8.25" customHeight="1"/>
    <row r="1108" ht="8.25" customHeight="1"/>
    <row r="1109" ht="8.25" customHeight="1"/>
    <row r="1110" ht="8.25" customHeight="1"/>
    <row r="1111" ht="8.25" customHeight="1"/>
    <row r="1112" ht="8.25" customHeight="1"/>
    <row r="1113" ht="8.25" customHeight="1"/>
    <row r="1114" ht="8.25" customHeight="1"/>
    <row r="1115" ht="8.25" customHeight="1"/>
    <row r="1116" ht="8.25" customHeight="1"/>
    <row r="1117" ht="8.25" customHeight="1"/>
    <row r="1118" ht="8.25" customHeight="1"/>
    <row r="1119" ht="8.25" customHeight="1"/>
    <row r="1120" ht="8.25" customHeight="1"/>
    <row r="1121" ht="8.25" customHeight="1"/>
    <row r="1122" ht="8.25" customHeight="1"/>
    <row r="1123" ht="8.25" customHeight="1"/>
    <row r="1124" ht="8.25" customHeight="1"/>
    <row r="1125" ht="8.25" customHeight="1"/>
    <row r="1126" ht="8.25" customHeight="1"/>
    <row r="1127" ht="8.25" customHeight="1"/>
    <row r="1128" ht="8.25" customHeight="1"/>
    <row r="1129" ht="8.25" customHeight="1"/>
    <row r="1130" ht="8.25" customHeight="1"/>
    <row r="1131" ht="8.25" customHeight="1"/>
    <row r="1132" ht="8.25" customHeight="1"/>
    <row r="1133" ht="8.25" customHeight="1"/>
    <row r="1134" ht="8.25" customHeight="1"/>
    <row r="1135" ht="8.25" customHeight="1"/>
    <row r="1136" ht="8.25" customHeight="1"/>
    <row r="1137" ht="8.25" customHeight="1"/>
    <row r="1138" ht="8.25" customHeight="1"/>
    <row r="1139" ht="8.25" customHeight="1"/>
    <row r="1140" ht="8.25" customHeight="1"/>
    <row r="1141" ht="8.25" customHeight="1"/>
    <row r="1142" ht="8.25" customHeight="1"/>
    <row r="1143" ht="8.25" customHeight="1"/>
    <row r="1144" ht="8.25" customHeight="1"/>
    <row r="1145" ht="8.25" customHeight="1"/>
    <row r="1146" ht="8.25" customHeight="1"/>
    <row r="1147" ht="8.25" customHeight="1"/>
    <row r="1148" ht="8.25" customHeight="1"/>
    <row r="1149" ht="8.25" customHeight="1"/>
    <row r="1150" ht="8.25" customHeight="1"/>
  </sheetData>
  <sheetProtection/>
  <printOptions/>
  <pageMargins left="0" right="0" top="0.984251968503937" bottom="0.1968503937007874" header="0.31496062992125984" footer="0.11811023622047245"/>
  <pageSetup horizontalDpi="300" verticalDpi="300" orientation="landscape" paperSize="9" r:id="rId1"/>
  <headerFooter alignWithMargins="0">
    <oddHeader>&amp;CRANKING NACIONAL DAS RAÇAS PÔNEI
MELHOR CRIADOR 2005
RAÇA PÔNEI BRASILEIRO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83"/>
  <sheetViews>
    <sheetView zoomScale="115" zoomScaleNormal="115" zoomScalePageLayoutView="0" workbookViewId="0" topLeftCell="A1">
      <selection activeCell="D25" sqref="D25"/>
    </sheetView>
  </sheetViews>
  <sheetFormatPr defaultColWidth="9.140625" defaultRowHeight="12.75"/>
  <cols>
    <col min="1" max="1" width="5.421875" style="30" customWidth="1"/>
    <col min="2" max="2" width="19.00390625" style="31" customWidth="1"/>
    <col min="3" max="3" width="3.140625" style="32" customWidth="1"/>
    <col min="4" max="4" width="4.8515625" style="36" customWidth="1"/>
    <col min="5" max="18" width="6.7109375" style="36" customWidth="1"/>
    <col min="19" max="31" width="6.140625" style="64" customWidth="1"/>
    <col min="32" max="32" width="6.00390625" style="64" customWidth="1"/>
    <col min="33" max="33" width="6.7109375" style="64" customWidth="1"/>
    <col min="34" max="34" width="6.140625" style="64" customWidth="1"/>
    <col min="35" max="36" width="6.28125" style="64" customWidth="1"/>
    <col min="37" max="37" width="6.140625" style="64" customWidth="1"/>
    <col min="38" max="38" width="6.28125" style="64" customWidth="1"/>
    <col min="39" max="39" width="7.57421875" style="64" customWidth="1"/>
    <col min="40" max="16384" width="9.140625" style="31" customWidth="1"/>
  </cols>
  <sheetData>
    <row r="1" spans="1:39" s="5" customFormat="1" ht="8.25">
      <c r="A1" s="1">
        <v>9999</v>
      </c>
      <c r="B1" s="54"/>
      <c r="C1" s="2" t="s">
        <v>4</v>
      </c>
      <c r="D1" s="3" t="s">
        <v>1</v>
      </c>
      <c r="E1" s="3" t="s">
        <v>0</v>
      </c>
      <c r="F1" s="3" t="s">
        <v>236</v>
      </c>
      <c r="G1" s="3" t="s">
        <v>201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  <c r="N1" s="3" t="s">
        <v>255</v>
      </c>
      <c r="O1" s="3" t="s">
        <v>178</v>
      </c>
      <c r="P1" s="3" t="s">
        <v>173</v>
      </c>
      <c r="Q1" s="3" t="s">
        <v>299</v>
      </c>
      <c r="R1" s="3" t="s">
        <v>269</v>
      </c>
      <c r="S1" s="2" t="s">
        <v>48</v>
      </c>
      <c r="T1" s="2" t="s">
        <v>276</v>
      </c>
      <c r="U1" s="2" t="s">
        <v>129</v>
      </c>
      <c r="V1" s="2" t="s">
        <v>131</v>
      </c>
      <c r="W1" s="2" t="s">
        <v>286</v>
      </c>
      <c r="X1" s="2" t="s">
        <v>135</v>
      </c>
      <c r="Y1" s="2" t="s">
        <v>114</v>
      </c>
      <c r="Z1" s="2"/>
      <c r="AA1" s="2"/>
      <c r="AB1" s="2"/>
      <c r="AC1" s="2"/>
      <c r="AD1" s="2"/>
      <c r="AE1" s="2"/>
      <c r="AF1" s="59"/>
      <c r="AG1" s="59"/>
      <c r="AH1" s="59"/>
      <c r="AI1" s="59"/>
      <c r="AJ1" s="59"/>
      <c r="AK1" s="59"/>
      <c r="AL1" s="59"/>
      <c r="AM1" s="60"/>
    </row>
    <row r="2" spans="1:39" s="5" customFormat="1" ht="8.25">
      <c r="A2" s="1">
        <v>9998</v>
      </c>
      <c r="B2" s="56" t="s">
        <v>30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  <c r="N2" s="8" t="s">
        <v>256</v>
      </c>
      <c r="O2" s="8" t="s">
        <v>260</v>
      </c>
      <c r="P2" s="8" t="s">
        <v>296</v>
      </c>
      <c r="Q2" s="8" t="s">
        <v>300</v>
      </c>
      <c r="R2" s="8" t="s">
        <v>268</v>
      </c>
      <c r="S2" s="8" t="s">
        <v>271</v>
      </c>
      <c r="T2" s="8" t="s">
        <v>277</v>
      </c>
      <c r="U2" s="8" t="s">
        <v>294</v>
      </c>
      <c r="V2" s="8" t="s">
        <v>294</v>
      </c>
      <c r="W2" s="8" t="s">
        <v>287</v>
      </c>
      <c r="X2" s="8" t="s">
        <v>307</v>
      </c>
      <c r="Y2" s="8" t="s">
        <v>305</v>
      </c>
      <c r="Z2" s="8"/>
      <c r="AA2" s="8"/>
      <c r="AB2" s="8"/>
      <c r="AC2" s="8"/>
      <c r="AD2" s="8"/>
      <c r="AE2" s="8"/>
      <c r="AF2" s="59"/>
      <c r="AG2" s="59"/>
      <c r="AH2" s="61"/>
      <c r="AI2" s="61"/>
      <c r="AJ2" s="61"/>
      <c r="AK2" s="61"/>
      <c r="AL2" s="61"/>
      <c r="AM2" s="60"/>
    </row>
    <row r="3" spans="1:39" s="13" customFormat="1" ht="8.25">
      <c r="A3" s="1">
        <v>9997</v>
      </c>
      <c r="B3" s="55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  <c r="N3" s="11">
        <v>0.38</v>
      </c>
      <c r="O3" s="11">
        <v>0.89</v>
      </c>
      <c r="P3" s="11">
        <v>0.25</v>
      </c>
      <c r="Q3" s="11">
        <v>0.6</v>
      </c>
      <c r="R3" s="11">
        <v>0.22</v>
      </c>
      <c r="S3" s="12">
        <v>0.2</v>
      </c>
      <c r="T3" s="40" t="s">
        <v>278</v>
      </c>
      <c r="U3" s="40" t="s">
        <v>293</v>
      </c>
      <c r="V3" s="40" t="s">
        <v>309</v>
      </c>
      <c r="W3" s="40" t="s">
        <v>288</v>
      </c>
      <c r="X3" s="40" t="s">
        <v>308</v>
      </c>
      <c r="Y3" s="40" t="s">
        <v>306</v>
      </c>
      <c r="Z3" s="40"/>
      <c r="AA3" s="40"/>
      <c r="AB3" s="40"/>
      <c r="AC3" s="40"/>
      <c r="AD3" s="40"/>
      <c r="AE3" s="40"/>
      <c r="AF3" s="59"/>
      <c r="AG3" s="59"/>
      <c r="AH3" s="61"/>
      <c r="AI3" s="61"/>
      <c r="AJ3" s="61"/>
      <c r="AK3" s="59"/>
      <c r="AL3" s="59"/>
      <c r="AM3" s="60"/>
    </row>
    <row r="4" spans="1:39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5"/>
      <c r="AF4" s="59"/>
      <c r="AG4" s="59"/>
      <c r="AH4" s="59"/>
      <c r="AI4" s="59"/>
      <c r="AJ4" s="59"/>
      <c r="AK4" s="59"/>
      <c r="AL4" s="59"/>
      <c r="AM4" s="59"/>
    </row>
    <row r="5" spans="1:39" s="24" customFormat="1" ht="8.25">
      <c r="A5" s="18">
        <f>SUM(0+D5)</f>
        <v>1495.94</v>
      </c>
      <c r="B5" s="19" t="s">
        <v>23</v>
      </c>
      <c r="C5" s="20" t="s">
        <v>24</v>
      </c>
      <c r="D5" s="21">
        <v>1495.94</v>
      </c>
      <c r="E5" s="23"/>
      <c r="F5" s="23"/>
      <c r="G5" s="21"/>
      <c r="H5" s="21"/>
      <c r="I5" s="77">
        <f>380*0.96</f>
        <v>364.8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76">
        <f>312*1.2</f>
        <v>374.4</v>
      </c>
      <c r="U5" s="21"/>
      <c r="V5" s="21">
        <f>296*0.91</f>
        <v>269.36</v>
      </c>
      <c r="W5" s="76">
        <f>230*1.75</f>
        <v>402.5</v>
      </c>
      <c r="X5" s="21"/>
      <c r="Y5" s="76">
        <f>328*1.08</f>
        <v>354.24</v>
      </c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</row>
    <row r="6" spans="1:39" s="24" customFormat="1" ht="8.25">
      <c r="A6" s="18">
        <f>SUM(0+D6)</f>
        <v>1265.02</v>
      </c>
      <c r="B6" s="19" t="s">
        <v>183</v>
      </c>
      <c r="C6" s="20" t="s">
        <v>7</v>
      </c>
      <c r="D6" s="21">
        <v>1265.02</v>
      </c>
      <c r="E6" s="57">
        <f>201*2.07</f>
        <v>416.07</v>
      </c>
      <c r="F6" s="23"/>
      <c r="G6" s="77">
        <f>125*1.14</f>
        <v>142.5</v>
      </c>
      <c r="H6" s="22"/>
      <c r="I6" s="22">
        <f>25*0.96</f>
        <v>24</v>
      </c>
      <c r="J6" s="76">
        <f>167*1.1</f>
        <v>183.70000000000002</v>
      </c>
      <c r="K6" s="21"/>
      <c r="L6" s="21"/>
      <c r="M6" s="76">
        <v>185</v>
      </c>
      <c r="N6" s="21"/>
      <c r="O6" s="21"/>
      <c r="P6" s="21"/>
      <c r="Q6" s="21"/>
      <c r="R6" s="21"/>
      <c r="S6" s="21"/>
      <c r="T6" s="21"/>
      <c r="U6" s="21"/>
      <c r="V6" s="21">
        <f>7*0.91</f>
        <v>6.37</v>
      </c>
      <c r="W6" s="76">
        <f>193*1.75</f>
        <v>337.75</v>
      </c>
      <c r="X6" s="21"/>
      <c r="Y6" s="21"/>
      <c r="Z6" s="21"/>
      <c r="AA6" s="21"/>
      <c r="AB6" s="21"/>
      <c r="AC6" s="21"/>
      <c r="AD6" s="21"/>
      <c r="AE6" s="21"/>
      <c r="AF6" s="62"/>
      <c r="AG6" s="62"/>
      <c r="AH6" s="62"/>
      <c r="AI6" s="62"/>
      <c r="AJ6" s="62"/>
      <c r="AK6" s="62"/>
      <c r="AL6" s="62"/>
      <c r="AM6" s="62"/>
    </row>
    <row r="7" spans="1:39" ht="8.25">
      <c r="A7" s="18">
        <f>SUM(0+D7)</f>
        <v>836.76</v>
      </c>
      <c r="B7" s="19" t="s">
        <v>87</v>
      </c>
      <c r="C7" s="20" t="s">
        <v>7</v>
      </c>
      <c r="D7" s="21">
        <v>836.76</v>
      </c>
      <c r="E7" s="57">
        <f>129*2.07</f>
        <v>267.03</v>
      </c>
      <c r="F7" s="23"/>
      <c r="G7" s="77">
        <f>157*1.14</f>
        <v>178.98</v>
      </c>
      <c r="H7" s="22"/>
      <c r="I7" s="22"/>
      <c r="J7" s="21">
        <f>99*1.1</f>
        <v>108.9</v>
      </c>
      <c r="K7" s="21"/>
      <c r="L7" s="21"/>
      <c r="M7" s="76">
        <v>137</v>
      </c>
      <c r="N7" s="21"/>
      <c r="O7" s="21"/>
      <c r="P7" s="21"/>
      <c r="Q7" s="21"/>
      <c r="R7" s="21"/>
      <c r="S7" s="21"/>
      <c r="T7" s="21"/>
      <c r="U7" s="21"/>
      <c r="V7" s="21"/>
      <c r="W7" s="76">
        <f>145*1.75</f>
        <v>253.75</v>
      </c>
      <c r="X7" s="21"/>
      <c r="Y7" s="21"/>
      <c r="Z7" s="21"/>
      <c r="AA7" s="21"/>
      <c r="AB7" s="21"/>
      <c r="AC7" s="21"/>
      <c r="AD7" s="21"/>
      <c r="AE7" s="21"/>
      <c r="AF7" s="62"/>
      <c r="AG7" s="62"/>
      <c r="AH7" s="62"/>
      <c r="AI7" s="62"/>
      <c r="AJ7" s="62"/>
      <c r="AK7" s="62"/>
      <c r="AL7" s="62"/>
      <c r="AM7" s="62"/>
    </row>
    <row r="8" spans="1:39" s="24" customFormat="1" ht="8.25">
      <c r="A8" s="18">
        <f>SUM(0+D8)</f>
        <v>511.65</v>
      </c>
      <c r="B8" s="19" t="s">
        <v>38</v>
      </c>
      <c r="C8" s="20" t="s">
        <v>37</v>
      </c>
      <c r="D8" s="21">
        <v>511.65</v>
      </c>
      <c r="E8" s="57">
        <f>51*2.07</f>
        <v>105.57</v>
      </c>
      <c r="F8" s="23">
        <f>33*0.16</f>
        <v>5.28</v>
      </c>
      <c r="G8" s="22"/>
      <c r="H8" s="22"/>
      <c r="I8" s="22"/>
      <c r="J8" s="76">
        <f>91*1.1</f>
        <v>100.10000000000001</v>
      </c>
      <c r="K8" s="21"/>
      <c r="L8" s="76">
        <f>331*0.44</f>
        <v>145.64000000000001</v>
      </c>
      <c r="M8" s="76">
        <v>144</v>
      </c>
      <c r="N8" s="76">
        <f>43*0.38</f>
        <v>16.34</v>
      </c>
      <c r="O8" s="21"/>
      <c r="P8" s="21">
        <f>33*0.25</f>
        <v>8.25</v>
      </c>
      <c r="Q8" s="21"/>
      <c r="R8" s="21"/>
      <c r="S8" s="21"/>
      <c r="T8" s="21"/>
      <c r="U8" s="21"/>
      <c r="V8" s="21"/>
      <c r="W8" s="21"/>
      <c r="X8" s="21">
        <f>26*0.48</f>
        <v>12.48</v>
      </c>
      <c r="Y8" s="21"/>
      <c r="Z8" s="21"/>
      <c r="AA8" s="21"/>
      <c r="AB8" s="21"/>
      <c r="AC8" s="21"/>
      <c r="AD8" s="21"/>
      <c r="AE8" s="21"/>
      <c r="AF8" s="63"/>
      <c r="AG8" s="63"/>
      <c r="AH8" s="63"/>
      <c r="AI8" s="63"/>
      <c r="AJ8" s="63"/>
      <c r="AK8" s="63"/>
      <c r="AL8" s="63"/>
      <c r="AM8" s="63"/>
    </row>
    <row r="9" spans="1:39" s="24" customFormat="1" ht="8.25">
      <c r="A9" s="18">
        <f>SUM(0+D9)</f>
        <v>448.96</v>
      </c>
      <c r="B9" s="19" t="s">
        <v>180</v>
      </c>
      <c r="C9" s="20" t="s">
        <v>21</v>
      </c>
      <c r="D9" s="21">
        <v>448.96</v>
      </c>
      <c r="E9" s="57">
        <f>35*2.07</f>
        <v>72.44999999999999</v>
      </c>
      <c r="F9" s="23"/>
      <c r="G9" s="22"/>
      <c r="H9" s="22"/>
      <c r="I9" s="77">
        <f>103*0.96</f>
        <v>98.88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76">
        <f>94*1.2</f>
        <v>112.8</v>
      </c>
      <c r="U9" s="21"/>
      <c r="V9" s="76">
        <f>85*0.91</f>
        <v>77.35000000000001</v>
      </c>
      <c r="W9" s="21">
        <f>39*1.75</f>
        <v>68.25</v>
      </c>
      <c r="X9" s="21"/>
      <c r="Y9" s="76">
        <f>81*1.08</f>
        <v>87.48</v>
      </c>
      <c r="Z9" s="21"/>
      <c r="AA9" s="21"/>
      <c r="AB9" s="21"/>
      <c r="AC9" s="21"/>
      <c r="AD9" s="21"/>
      <c r="AE9" s="21"/>
      <c r="AF9" s="63"/>
      <c r="AG9" s="63"/>
      <c r="AH9" s="63"/>
      <c r="AI9" s="63"/>
      <c r="AJ9" s="63"/>
      <c r="AK9" s="63"/>
      <c r="AL9" s="63"/>
      <c r="AM9" s="63"/>
    </row>
    <row r="10" spans="1:39" s="24" customFormat="1" ht="8.25">
      <c r="A10" s="18"/>
      <c r="B10" s="20" t="s">
        <v>33</v>
      </c>
      <c r="C10" s="20"/>
      <c r="D10" s="21"/>
      <c r="E10" s="57"/>
      <c r="F10" s="23"/>
      <c r="G10" s="22"/>
      <c r="H10" s="22"/>
      <c r="I10" s="7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76"/>
      <c r="U10" s="21"/>
      <c r="V10" s="76"/>
      <c r="W10" s="21"/>
      <c r="X10" s="21"/>
      <c r="Y10" s="76"/>
      <c r="Z10" s="21"/>
      <c r="AA10" s="21"/>
      <c r="AB10" s="21"/>
      <c r="AC10" s="21"/>
      <c r="AD10" s="21"/>
      <c r="AE10" s="21"/>
      <c r="AF10" s="63"/>
      <c r="AG10" s="63"/>
      <c r="AH10" s="63"/>
      <c r="AI10" s="63"/>
      <c r="AJ10" s="63"/>
      <c r="AK10" s="63"/>
      <c r="AL10" s="63"/>
      <c r="AM10" s="63"/>
    </row>
    <row r="11" spans="1:39" ht="8.25">
      <c r="A11" s="18">
        <f>SUM(0+D11)</f>
        <v>385.52</v>
      </c>
      <c r="B11" s="19" t="s">
        <v>18</v>
      </c>
      <c r="C11" s="20" t="s">
        <v>14</v>
      </c>
      <c r="D11" s="21">
        <v>385.52</v>
      </c>
      <c r="E11" s="23"/>
      <c r="F11" s="23">
        <f>58*0.16</f>
        <v>9.28</v>
      </c>
      <c r="G11" s="77">
        <f>187*1.14</f>
        <v>213.17999999999998</v>
      </c>
      <c r="H11" s="22"/>
      <c r="I11" s="22"/>
      <c r="J11" s="76">
        <f>59*1.1</f>
        <v>64.9</v>
      </c>
      <c r="K11" s="21"/>
      <c r="L11" s="21"/>
      <c r="M11" s="76">
        <v>61</v>
      </c>
      <c r="N11" s="21">
        <f>53*0.38</f>
        <v>20.14</v>
      </c>
      <c r="O11" s="21"/>
      <c r="P11" s="21">
        <f>58*0.25</f>
        <v>14.5</v>
      </c>
      <c r="Q11" s="21"/>
      <c r="R11" s="21"/>
      <c r="S11" s="21"/>
      <c r="T11" s="21"/>
      <c r="U11" s="21"/>
      <c r="V11" s="21"/>
      <c r="W11" s="21">
        <f>8*1.75</f>
        <v>14</v>
      </c>
      <c r="X11" s="21">
        <f>80*0.48</f>
        <v>38.4</v>
      </c>
      <c r="Y11" s="76">
        <f>43*1.08</f>
        <v>46.440000000000005</v>
      </c>
      <c r="Z11" s="21"/>
      <c r="AA11" s="21"/>
      <c r="AB11" s="21"/>
      <c r="AC11" s="21"/>
      <c r="AD11" s="21"/>
      <c r="AE11" s="21"/>
      <c r="AF11" s="63"/>
      <c r="AG11" s="63"/>
      <c r="AH11" s="63"/>
      <c r="AI11" s="63"/>
      <c r="AJ11" s="63"/>
      <c r="AK11" s="63"/>
      <c r="AL11" s="63"/>
      <c r="AM11" s="63"/>
    </row>
    <row r="12" spans="1:39" s="24" customFormat="1" ht="8.25">
      <c r="A12" s="18">
        <f>SUM(0+D12)</f>
        <v>372.16</v>
      </c>
      <c r="B12" s="19" t="s">
        <v>229</v>
      </c>
      <c r="C12" s="20" t="s">
        <v>24</v>
      </c>
      <c r="D12" s="21">
        <v>372.16</v>
      </c>
      <c r="E12" s="23"/>
      <c r="F12" s="23"/>
      <c r="G12" s="22"/>
      <c r="H12" s="22"/>
      <c r="I12" s="77">
        <f>82*0.96</f>
        <v>78.72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6">
        <f>133*1.2</f>
        <v>159.6</v>
      </c>
      <c r="U12" s="21"/>
      <c r="V12" s="76">
        <f>74*0.91</f>
        <v>67.34</v>
      </c>
      <c r="W12" s="76">
        <f>38*1.75</f>
        <v>66.5</v>
      </c>
      <c r="X12" s="21"/>
      <c r="Y12" s="21">
        <f>57*1.08</f>
        <v>61.56</v>
      </c>
      <c r="Z12" s="21"/>
      <c r="AA12" s="21"/>
      <c r="AB12" s="21"/>
      <c r="AC12" s="21"/>
      <c r="AD12" s="21"/>
      <c r="AE12" s="21"/>
      <c r="AF12" s="63"/>
      <c r="AG12" s="63"/>
      <c r="AH12" s="63"/>
      <c r="AI12" s="63"/>
      <c r="AJ12" s="63"/>
      <c r="AK12" s="63"/>
      <c r="AL12" s="63"/>
      <c r="AM12" s="63"/>
    </row>
    <row r="13" spans="1:39" ht="8.25">
      <c r="A13" s="18">
        <f>SUM(0+D13)</f>
        <v>354</v>
      </c>
      <c r="B13" s="19" t="s">
        <v>186</v>
      </c>
      <c r="C13" s="20" t="s">
        <v>7</v>
      </c>
      <c r="D13" s="21">
        <v>354</v>
      </c>
      <c r="E13" s="23">
        <f>122*2.07</f>
        <v>252.54</v>
      </c>
      <c r="F13" s="23"/>
      <c r="G13" s="22">
        <f>89*1.14</f>
        <v>101.46</v>
      </c>
      <c r="H13" s="22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63"/>
      <c r="AG13" s="63"/>
      <c r="AH13" s="63"/>
      <c r="AI13" s="63"/>
      <c r="AJ13" s="63"/>
      <c r="AK13" s="63"/>
      <c r="AL13" s="63"/>
      <c r="AM13" s="63"/>
    </row>
    <row r="14" spans="1:39" ht="8.25">
      <c r="A14" s="18">
        <f>SUM(0+D14)</f>
        <v>350.77</v>
      </c>
      <c r="B14" s="19" t="s">
        <v>67</v>
      </c>
      <c r="C14" s="20" t="s">
        <v>17</v>
      </c>
      <c r="D14" s="21">
        <v>350.77</v>
      </c>
      <c r="E14" s="23"/>
      <c r="F14" s="23"/>
      <c r="G14" s="22"/>
      <c r="H14" s="22">
        <f>391*0.27</f>
        <v>105.57000000000001</v>
      </c>
      <c r="I14" s="22"/>
      <c r="J14" s="21"/>
      <c r="K14" s="21"/>
      <c r="L14" s="21"/>
      <c r="M14" s="22">
        <v>56</v>
      </c>
      <c r="N14" s="21"/>
      <c r="O14" s="21">
        <f>110*0.89</f>
        <v>97.9</v>
      </c>
      <c r="P14" s="21"/>
      <c r="Q14" s="21"/>
      <c r="R14" s="21">
        <f>415*0.22</f>
        <v>91.3</v>
      </c>
      <c r="S14" s="21"/>
      <c r="T14" s="21"/>
      <c r="U14" s="21"/>
      <c r="V14" s="21"/>
      <c r="W14" s="21"/>
      <c r="X14" s="21"/>
      <c r="Y14" s="22"/>
      <c r="Z14" s="22"/>
      <c r="AA14" s="22"/>
      <c r="AB14" s="22"/>
      <c r="AC14" s="22"/>
      <c r="AD14" s="22"/>
      <c r="AE14" s="22"/>
      <c r="AF14" s="63"/>
      <c r="AG14" s="63"/>
      <c r="AH14" s="63"/>
      <c r="AI14" s="63"/>
      <c r="AJ14" s="63"/>
      <c r="AK14" s="63"/>
      <c r="AL14" s="63"/>
      <c r="AM14" s="63"/>
    </row>
    <row r="15" spans="1:39" s="24" customFormat="1" ht="8.25">
      <c r="A15" s="18">
        <f>SUM(0+D15)</f>
        <v>267.71</v>
      </c>
      <c r="B15" s="19" t="s">
        <v>79</v>
      </c>
      <c r="C15" s="20" t="s">
        <v>5</v>
      </c>
      <c r="D15" s="21">
        <v>267.71</v>
      </c>
      <c r="E15" s="23">
        <f>61*2.07</f>
        <v>126.27</v>
      </c>
      <c r="F15" s="23"/>
      <c r="G15" s="22"/>
      <c r="H15" s="22"/>
      <c r="I15" s="22"/>
      <c r="J15" s="21"/>
      <c r="K15" s="21"/>
      <c r="L15" s="21"/>
      <c r="M15" s="21"/>
      <c r="N15" s="21">
        <f>214*0.38</f>
        <v>81.32000000000001</v>
      </c>
      <c r="O15" s="21"/>
      <c r="P15" s="21"/>
      <c r="Q15" s="21">
        <f>25*0.6</f>
        <v>15</v>
      </c>
      <c r="R15" s="21"/>
      <c r="S15" s="21"/>
      <c r="T15" s="21"/>
      <c r="U15" s="21"/>
      <c r="V15" s="21"/>
      <c r="W15" s="21"/>
      <c r="X15" s="21">
        <f>94*0.48</f>
        <v>45.12</v>
      </c>
      <c r="Y15" s="21"/>
      <c r="Z15" s="21"/>
      <c r="AA15" s="21"/>
      <c r="AB15" s="21"/>
      <c r="AC15" s="21"/>
      <c r="AD15" s="21"/>
      <c r="AE15" s="21"/>
      <c r="AF15" s="63"/>
      <c r="AG15" s="63"/>
      <c r="AH15" s="63"/>
      <c r="AI15" s="63"/>
      <c r="AJ15" s="63"/>
      <c r="AK15" s="63"/>
      <c r="AL15" s="63"/>
      <c r="AM15" s="63"/>
    </row>
    <row r="16" spans="1:39" s="24" customFormat="1" ht="8.25">
      <c r="A16" s="18"/>
      <c r="B16" s="20" t="s">
        <v>34</v>
      </c>
      <c r="C16" s="20"/>
      <c r="D16" s="21"/>
      <c r="E16" s="23"/>
      <c r="F16" s="23"/>
      <c r="G16" s="22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63"/>
      <c r="AG16" s="63"/>
      <c r="AH16" s="63"/>
      <c r="AI16" s="63"/>
      <c r="AJ16" s="63"/>
      <c r="AK16" s="63"/>
      <c r="AL16" s="63"/>
      <c r="AM16" s="63"/>
    </row>
    <row r="17" spans="1:39" s="24" customFormat="1" ht="8.25">
      <c r="A17" s="18">
        <f>SUM(0+D17)</f>
        <v>254.22</v>
      </c>
      <c r="B17" s="19" t="s">
        <v>194</v>
      </c>
      <c r="C17" s="20" t="s">
        <v>21</v>
      </c>
      <c r="D17" s="21">
        <v>254.22</v>
      </c>
      <c r="E17" s="57">
        <f>27*2.07</f>
        <v>55.88999999999999</v>
      </c>
      <c r="F17" s="23"/>
      <c r="G17" s="22"/>
      <c r="H17" s="22"/>
      <c r="I17" s="22">
        <f>6*0.96</f>
        <v>5.76</v>
      </c>
      <c r="J17" s="21"/>
      <c r="K17" s="76">
        <f>44*0.65</f>
        <v>28.6</v>
      </c>
      <c r="L17" s="21"/>
      <c r="M17" s="22"/>
      <c r="N17" s="21"/>
      <c r="O17" s="21"/>
      <c r="P17" s="21"/>
      <c r="Q17" s="21">
        <f>8*0.6</f>
        <v>4.8</v>
      </c>
      <c r="R17" s="21"/>
      <c r="S17" s="21"/>
      <c r="T17" s="21">
        <f>7*1.2</f>
        <v>8.4</v>
      </c>
      <c r="U17" s="21"/>
      <c r="V17" s="76">
        <f>55*0.91</f>
        <v>50.050000000000004</v>
      </c>
      <c r="W17" s="76">
        <f>40*1.75</f>
        <v>70</v>
      </c>
      <c r="X17" s="21">
        <f>33*0.48</f>
        <v>15.84</v>
      </c>
      <c r="Y17" s="77">
        <f>46*1.08</f>
        <v>49.68000000000001</v>
      </c>
      <c r="Z17" s="22"/>
      <c r="AA17" s="22"/>
      <c r="AB17" s="22"/>
      <c r="AC17" s="22"/>
      <c r="AD17" s="22"/>
      <c r="AE17" s="22"/>
      <c r="AF17" s="62"/>
      <c r="AG17" s="62"/>
      <c r="AH17" s="62"/>
      <c r="AI17" s="62"/>
      <c r="AJ17" s="62"/>
      <c r="AK17" s="62"/>
      <c r="AL17" s="62"/>
      <c r="AM17" s="62"/>
    </row>
    <row r="18" spans="1:39" s="24" customFormat="1" ht="8.25">
      <c r="A18" s="18">
        <f>SUM(0+D18)</f>
        <v>236.19</v>
      </c>
      <c r="B18" s="19" t="s">
        <v>152</v>
      </c>
      <c r="C18" s="20" t="s">
        <v>37</v>
      </c>
      <c r="D18" s="21">
        <v>236.19</v>
      </c>
      <c r="E18" s="23">
        <f>13*2.07</f>
        <v>26.909999999999997</v>
      </c>
      <c r="F18" s="23"/>
      <c r="G18" s="22"/>
      <c r="H18" s="22"/>
      <c r="I18" s="22"/>
      <c r="J18" s="21">
        <f>52*1.1</f>
        <v>57.2</v>
      </c>
      <c r="K18" s="21"/>
      <c r="L18" s="21">
        <f>132*0.44</f>
        <v>58.08</v>
      </c>
      <c r="M18" s="22">
        <v>94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63"/>
      <c r="AG18" s="63"/>
      <c r="AH18" s="63"/>
      <c r="AI18" s="63"/>
      <c r="AJ18" s="63"/>
      <c r="AK18" s="63"/>
      <c r="AL18" s="63"/>
      <c r="AM18" s="63"/>
    </row>
    <row r="19" spans="1:39" ht="8.25">
      <c r="A19" s="18">
        <f>SUM(0+D19)</f>
        <v>232.82</v>
      </c>
      <c r="B19" s="19" t="s">
        <v>3</v>
      </c>
      <c r="C19" s="20" t="s">
        <v>7</v>
      </c>
      <c r="D19" s="21">
        <v>232.82</v>
      </c>
      <c r="E19" s="23">
        <f>62*2.07</f>
        <v>128.34</v>
      </c>
      <c r="F19" s="23">
        <f>71*0.16</f>
        <v>11.36</v>
      </c>
      <c r="G19" s="22">
        <f>67*1.14</f>
        <v>76.38</v>
      </c>
      <c r="H19" s="22"/>
      <c r="I19" s="22"/>
      <c r="J19" s="21"/>
      <c r="K19" s="21"/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>
        <f>6*1.75</f>
        <v>10.5</v>
      </c>
      <c r="X19" s="21">
        <f>13*0.48</f>
        <v>6.24</v>
      </c>
      <c r="Y19" s="22"/>
      <c r="Z19" s="22"/>
      <c r="AA19" s="22"/>
      <c r="AB19" s="22"/>
      <c r="AC19" s="22"/>
      <c r="AD19" s="22"/>
      <c r="AE19" s="22"/>
      <c r="AF19" s="62"/>
      <c r="AG19" s="62"/>
      <c r="AH19" s="62"/>
      <c r="AI19" s="62"/>
      <c r="AJ19" s="62"/>
      <c r="AK19" s="62"/>
      <c r="AL19" s="62"/>
      <c r="AM19" s="62"/>
    </row>
    <row r="20" spans="1:39" s="24" customFormat="1" ht="8.25">
      <c r="A20" s="18">
        <f>SUM(0+D20)</f>
        <v>230.53</v>
      </c>
      <c r="B20" s="19" t="s">
        <v>185</v>
      </c>
      <c r="C20" s="20" t="s">
        <v>37</v>
      </c>
      <c r="D20" s="21">
        <v>230.53</v>
      </c>
      <c r="E20" s="23">
        <f>29*2.07</f>
        <v>60.029999999999994</v>
      </c>
      <c r="F20" s="23"/>
      <c r="G20" s="22"/>
      <c r="H20" s="22"/>
      <c r="I20" s="22"/>
      <c r="J20" s="21">
        <f>155*1.1</f>
        <v>170.5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63"/>
      <c r="AG20" s="63"/>
      <c r="AH20" s="63"/>
      <c r="AI20" s="63"/>
      <c r="AJ20" s="63"/>
      <c r="AK20" s="63"/>
      <c r="AL20" s="63"/>
      <c r="AM20" s="63"/>
    </row>
    <row r="21" spans="1:39" s="24" customFormat="1" ht="8.25">
      <c r="A21" s="18">
        <f>SUM(0+D21)</f>
        <v>195.8</v>
      </c>
      <c r="B21" s="19" t="s">
        <v>27</v>
      </c>
      <c r="C21" s="20" t="s">
        <v>17</v>
      </c>
      <c r="D21" s="21">
        <v>195.8</v>
      </c>
      <c r="E21" s="22"/>
      <c r="F21" s="22"/>
      <c r="G21" s="22"/>
      <c r="H21" s="22"/>
      <c r="I21" s="22"/>
      <c r="J21" s="22"/>
      <c r="K21" s="22"/>
      <c r="L21" s="22"/>
      <c r="M21" s="22"/>
      <c r="N21" s="21"/>
      <c r="O21" s="21">
        <f>220*0.89</f>
        <v>195.8</v>
      </c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63"/>
      <c r="AG21" s="63"/>
      <c r="AH21" s="63"/>
      <c r="AI21" s="63"/>
      <c r="AJ21" s="63"/>
      <c r="AK21" s="63"/>
      <c r="AL21" s="63"/>
      <c r="AM21" s="63"/>
    </row>
    <row r="22" spans="1:39" s="24" customFormat="1" ht="8.25">
      <c r="A22" s="18"/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  <c r="AA22" s="22"/>
      <c r="AB22" s="22"/>
      <c r="AC22" s="22"/>
      <c r="AD22" s="22"/>
      <c r="AE22" s="22"/>
      <c r="AF22" s="63"/>
      <c r="AG22" s="63"/>
      <c r="AH22" s="63"/>
      <c r="AI22" s="63"/>
      <c r="AJ22" s="63"/>
      <c r="AK22" s="63"/>
      <c r="AL22" s="63"/>
      <c r="AM22" s="63"/>
    </row>
    <row r="23" spans="1:39" s="24" customFormat="1" ht="8.25">
      <c r="A23" s="18">
        <f>SUM(0+D23)</f>
        <v>195.45</v>
      </c>
      <c r="B23" s="19" t="s">
        <v>49</v>
      </c>
      <c r="C23" s="20" t="s">
        <v>35</v>
      </c>
      <c r="D23" s="21">
        <v>195.45</v>
      </c>
      <c r="E23" s="23">
        <f>15*2.07</f>
        <v>31.049999999999997</v>
      </c>
      <c r="F23" s="23"/>
      <c r="G23" s="22"/>
      <c r="H23" s="22"/>
      <c r="I23" s="22"/>
      <c r="J23" s="21"/>
      <c r="K23" s="21"/>
      <c r="L23" s="21"/>
      <c r="M23" s="21"/>
      <c r="N23" s="21"/>
      <c r="O23" s="21"/>
      <c r="P23" s="21"/>
      <c r="Q23" s="21">
        <f>141*0.6</f>
        <v>84.6</v>
      </c>
      <c r="R23" s="21"/>
      <c r="S23" s="21"/>
      <c r="T23" s="21"/>
      <c r="U23" s="21">
        <f>33*0.13</f>
        <v>4.29</v>
      </c>
      <c r="V23" s="21"/>
      <c r="W23" s="21">
        <f>33*1.75</f>
        <v>57.75</v>
      </c>
      <c r="X23" s="21">
        <f>37*0.48</f>
        <v>17.759999999999998</v>
      </c>
      <c r="Y23" s="21"/>
      <c r="Z23" s="21"/>
      <c r="AA23" s="21"/>
      <c r="AB23" s="21"/>
      <c r="AC23" s="21"/>
      <c r="AD23" s="21"/>
      <c r="AE23" s="21"/>
      <c r="AF23" s="63"/>
      <c r="AG23" s="63"/>
      <c r="AH23" s="63"/>
      <c r="AI23" s="63"/>
      <c r="AJ23" s="63"/>
      <c r="AK23" s="63"/>
      <c r="AL23" s="63"/>
      <c r="AM23" s="63"/>
    </row>
    <row r="24" spans="1:39" s="24" customFormat="1" ht="8.25">
      <c r="A24" s="18">
        <f>SUM(0+D24)</f>
        <v>163.82</v>
      </c>
      <c r="B24" s="19" t="s">
        <v>42</v>
      </c>
      <c r="C24" s="20" t="s">
        <v>17</v>
      </c>
      <c r="D24" s="21">
        <v>163.82</v>
      </c>
      <c r="E24" s="23">
        <f>7*2.07</f>
        <v>14.489999999999998</v>
      </c>
      <c r="F24" s="23"/>
      <c r="G24" s="22"/>
      <c r="H24" s="22"/>
      <c r="I24" s="22"/>
      <c r="J24" s="21"/>
      <c r="K24" s="21"/>
      <c r="L24" s="21"/>
      <c r="M24" s="21"/>
      <c r="N24" s="21"/>
      <c r="O24" s="21">
        <f>157*0.89</f>
        <v>139.73</v>
      </c>
      <c r="P24" s="21"/>
      <c r="Q24" s="21"/>
      <c r="R24" s="21"/>
      <c r="S24" s="21"/>
      <c r="T24" s="21">
        <f>8*1.2</f>
        <v>9.6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63"/>
      <c r="AG24" s="63"/>
      <c r="AH24" s="63"/>
      <c r="AI24" s="63"/>
      <c r="AJ24" s="63"/>
      <c r="AK24" s="63"/>
      <c r="AL24" s="63"/>
      <c r="AM24" s="63"/>
    </row>
    <row r="25" spans="1:39" ht="8.25">
      <c r="A25" s="18">
        <f>SUM(0+D25)</f>
        <v>136.17</v>
      </c>
      <c r="B25" s="19" t="s">
        <v>262</v>
      </c>
      <c r="C25" s="20" t="s">
        <v>17</v>
      </c>
      <c r="D25" s="21">
        <v>136.17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f>153*0.89</f>
        <v>136.17000000000002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3"/>
      <c r="AG25" s="63"/>
      <c r="AH25" s="63"/>
      <c r="AI25" s="63"/>
      <c r="AJ25" s="63"/>
      <c r="AK25" s="63"/>
      <c r="AL25" s="63"/>
      <c r="AM25" s="63"/>
    </row>
    <row r="26" spans="1:39" ht="8.25">
      <c r="A26" s="18">
        <f>SUM(0+D26)</f>
        <v>120.15</v>
      </c>
      <c r="B26" s="19" t="s">
        <v>261</v>
      </c>
      <c r="C26" s="20" t="s">
        <v>17</v>
      </c>
      <c r="D26" s="21">
        <v>120.15</v>
      </c>
      <c r="E26" s="22"/>
      <c r="F26" s="22"/>
      <c r="G26" s="22"/>
      <c r="H26" s="22"/>
      <c r="I26" s="22"/>
      <c r="J26" s="22"/>
      <c r="K26" s="22"/>
      <c r="L26" s="22"/>
      <c r="M26" s="22"/>
      <c r="N26" s="21"/>
      <c r="O26" s="21">
        <f>135*0.89</f>
        <v>120.15</v>
      </c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2"/>
      <c r="AA26" s="22"/>
      <c r="AB26" s="22"/>
      <c r="AC26" s="22"/>
      <c r="AD26" s="22"/>
      <c r="AE26" s="22"/>
      <c r="AF26" s="63"/>
      <c r="AG26" s="63"/>
      <c r="AH26" s="63"/>
      <c r="AI26" s="63"/>
      <c r="AJ26" s="63"/>
      <c r="AK26" s="63"/>
      <c r="AL26" s="63"/>
      <c r="AM26" s="63"/>
    </row>
    <row r="27" spans="1:39" s="24" customFormat="1" ht="8.25">
      <c r="A27" s="18">
        <f>SUM(0+D27)</f>
        <v>100.64</v>
      </c>
      <c r="B27" s="19" t="s">
        <v>238</v>
      </c>
      <c r="C27" s="20" t="s">
        <v>5</v>
      </c>
      <c r="D27" s="21">
        <v>100.64</v>
      </c>
      <c r="E27" s="22"/>
      <c r="F27" s="23">
        <f>86*0.16</f>
        <v>13.76</v>
      </c>
      <c r="G27" s="22"/>
      <c r="H27" s="22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f>181*0.48</f>
        <v>86.88</v>
      </c>
      <c r="Y27" s="21"/>
      <c r="Z27" s="21"/>
      <c r="AA27" s="21"/>
      <c r="AB27" s="21"/>
      <c r="AC27" s="21"/>
      <c r="AD27" s="21"/>
      <c r="AE27" s="21"/>
      <c r="AF27" s="62"/>
      <c r="AG27" s="62"/>
      <c r="AH27" s="62"/>
      <c r="AI27" s="62"/>
      <c r="AJ27" s="62"/>
      <c r="AK27" s="62"/>
      <c r="AL27" s="62"/>
      <c r="AM27" s="62"/>
    </row>
    <row r="28" spans="1:39" s="24" customFormat="1" ht="8.25">
      <c r="A28" s="18">
        <f>SUM(0+D28)</f>
        <v>99.6</v>
      </c>
      <c r="B28" s="19" t="s">
        <v>279</v>
      </c>
      <c r="C28" s="20" t="s">
        <v>24</v>
      </c>
      <c r="D28" s="21">
        <f>SUM(E28:AE28)</f>
        <v>99.6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f>83*1.2</f>
        <v>99.6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63"/>
      <c r="AG28" s="63"/>
      <c r="AH28" s="63"/>
      <c r="AI28" s="63"/>
      <c r="AJ28" s="63"/>
      <c r="AK28" s="63"/>
      <c r="AL28" s="63"/>
      <c r="AM28" s="63"/>
    </row>
    <row r="29" spans="1:39" s="24" customFormat="1" ht="8.25">
      <c r="A29" s="18">
        <f>SUM(0+D29)</f>
        <v>97.46000000000001</v>
      </c>
      <c r="B29" s="19" t="s">
        <v>196</v>
      </c>
      <c r="C29" s="20" t="s">
        <v>37</v>
      </c>
      <c r="D29" s="21">
        <f>SUM(E29:AE29)</f>
        <v>97.46000000000001</v>
      </c>
      <c r="E29" s="23"/>
      <c r="F29" s="23"/>
      <c r="G29" s="22"/>
      <c r="H29" s="22"/>
      <c r="I29" s="22"/>
      <c r="J29" s="21">
        <f>7*1.1</f>
        <v>7.700000000000001</v>
      </c>
      <c r="K29" s="21"/>
      <c r="L29" s="21">
        <f>104*0.44</f>
        <v>45.76</v>
      </c>
      <c r="M29" s="22">
        <v>44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2"/>
      <c r="AB29" s="22"/>
      <c r="AC29" s="22"/>
      <c r="AD29" s="22"/>
      <c r="AE29" s="22"/>
      <c r="AF29" s="62"/>
      <c r="AG29" s="62"/>
      <c r="AH29" s="62"/>
      <c r="AI29" s="62"/>
      <c r="AJ29" s="62"/>
      <c r="AK29" s="62"/>
      <c r="AL29" s="62"/>
      <c r="AM29" s="62"/>
    </row>
    <row r="30" spans="1:39" s="24" customFormat="1" ht="8.25">
      <c r="A30" s="18">
        <f>SUM(0+D30)</f>
        <v>95.54999999999998</v>
      </c>
      <c r="B30" s="19" t="s">
        <v>39</v>
      </c>
      <c r="C30" s="20" t="s">
        <v>9</v>
      </c>
      <c r="D30" s="21">
        <f>SUM(E30:AE30)</f>
        <v>95.54999999999998</v>
      </c>
      <c r="E30" s="23">
        <f>39*2.07</f>
        <v>80.72999999999999</v>
      </c>
      <c r="F30" s="23"/>
      <c r="G30" s="22">
        <f>13*1.14</f>
        <v>14.819999999999999</v>
      </c>
      <c r="H30" s="22"/>
      <c r="I30" s="22"/>
      <c r="J30" s="21"/>
      <c r="K30" s="21"/>
      <c r="L30" s="21"/>
      <c r="M30" s="2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22"/>
      <c r="AA30" s="22"/>
      <c r="AB30" s="22"/>
      <c r="AC30" s="22"/>
      <c r="AD30" s="22"/>
      <c r="AE30" s="22"/>
      <c r="AF30" s="63"/>
      <c r="AG30" s="63"/>
      <c r="AH30" s="63"/>
      <c r="AI30" s="63"/>
      <c r="AJ30" s="63"/>
      <c r="AK30" s="63"/>
      <c r="AL30" s="63"/>
      <c r="AM30" s="63"/>
    </row>
    <row r="31" spans="1:39" s="24" customFormat="1" ht="8.25">
      <c r="A31" s="18">
        <f>SUM(0+D31)</f>
        <v>95.23</v>
      </c>
      <c r="B31" s="19" t="s">
        <v>263</v>
      </c>
      <c r="C31" s="20" t="s">
        <v>17</v>
      </c>
      <c r="D31" s="21">
        <f>SUM(E31:AE31)</f>
        <v>95.23</v>
      </c>
      <c r="E31" s="21"/>
      <c r="F31" s="21"/>
      <c r="G31" s="21"/>
      <c r="H31" s="21"/>
      <c r="I31" s="21"/>
      <c r="J31" s="22"/>
      <c r="K31" s="22"/>
      <c r="L31" s="22"/>
      <c r="M31" s="22"/>
      <c r="N31" s="21"/>
      <c r="O31" s="21">
        <f>107*0.89</f>
        <v>95.23</v>
      </c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2"/>
      <c r="AF31" s="63"/>
      <c r="AG31" s="63"/>
      <c r="AH31" s="63"/>
      <c r="AI31" s="63"/>
      <c r="AJ31" s="63"/>
      <c r="AK31" s="63"/>
      <c r="AL31" s="63"/>
      <c r="AM31" s="63"/>
    </row>
    <row r="32" spans="1:39" s="24" customFormat="1" ht="8.25">
      <c r="A32" s="18">
        <f>SUM(0+D32)</f>
        <v>91.13000000000001</v>
      </c>
      <c r="B32" s="19" t="s">
        <v>153</v>
      </c>
      <c r="C32" s="20" t="s">
        <v>37</v>
      </c>
      <c r="D32" s="21">
        <f>SUM(E32:AE32)</f>
        <v>91.13000000000001</v>
      </c>
      <c r="E32" s="23">
        <f>11*2.07</f>
        <v>22.77</v>
      </c>
      <c r="F32" s="23"/>
      <c r="G32" s="22"/>
      <c r="H32" s="22"/>
      <c r="I32" s="22"/>
      <c r="J32" s="21">
        <f>28*1.1</f>
        <v>30.800000000000004</v>
      </c>
      <c r="K32" s="21"/>
      <c r="L32" s="21">
        <f>49*0.44</f>
        <v>21.56</v>
      </c>
      <c r="M32" s="22">
        <v>16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2"/>
      <c r="AA32" s="22"/>
      <c r="AB32" s="22"/>
      <c r="AC32" s="22"/>
      <c r="AD32" s="22"/>
      <c r="AE32" s="2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8.25">
      <c r="A33" s="18">
        <f>SUM(0+D33)</f>
        <v>90.05999999999999</v>
      </c>
      <c r="B33" s="19" t="s">
        <v>204</v>
      </c>
      <c r="C33" s="20" t="s">
        <v>7</v>
      </c>
      <c r="D33" s="21">
        <f>SUM(E33:AE33)</f>
        <v>90.05999999999999</v>
      </c>
      <c r="E33" s="23"/>
      <c r="F33" s="23"/>
      <c r="G33" s="22">
        <f>79*1.14</f>
        <v>90.05999999999999</v>
      </c>
      <c r="H33" s="22"/>
      <c r="I33" s="22"/>
      <c r="J33" s="21"/>
      <c r="K33" s="21"/>
      <c r="L33" s="21"/>
      <c r="M33" s="2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62"/>
      <c r="AG33" s="62"/>
      <c r="AH33" s="62"/>
      <c r="AI33" s="62"/>
      <c r="AJ33" s="62"/>
      <c r="AK33" s="62"/>
      <c r="AL33" s="62"/>
      <c r="AM33" s="62"/>
    </row>
    <row r="34" spans="1:39" s="24" customFormat="1" ht="8.25">
      <c r="A34" s="18">
        <f>SUM(0+D34)</f>
        <v>89.89</v>
      </c>
      <c r="B34" s="19" t="s">
        <v>214</v>
      </c>
      <c r="C34" s="20" t="s">
        <v>17</v>
      </c>
      <c r="D34" s="21">
        <f>SUM(E34:AE34)</f>
        <v>89.89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101*0.89</f>
        <v>89.89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63"/>
      <c r="AG34" s="63"/>
      <c r="AH34" s="63"/>
      <c r="AI34" s="63"/>
      <c r="AJ34" s="63"/>
      <c r="AK34" s="63"/>
      <c r="AL34" s="63"/>
      <c r="AM34" s="63"/>
    </row>
    <row r="35" spans="1:39" ht="8.25">
      <c r="A35" s="18">
        <f>SUM(0+D35)</f>
        <v>84.07</v>
      </c>
      <c r="B35" s="19" t="s">
        <v>177</v>
      </c>
      <c r="C35" s="20" t="s">
        <v>24</v>
      </c>
      <c r="D35" s="21">
        <f>SUM(E35:AE35)</f>
        <v>84.07</v>
      </c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1"/>
      <c r="S35" s="21"/>
      <c r="T35" s="21">
        <f>35*1.2</f>
        <v>42</v>
      </c>
      <c r="U35" s="21"/>
      <c r="V35" s="21">
        <f>27*0.91</f>
        <v>24.57</v>
      </c>
      <c r="W35" s="21">
        <f>10*1.75</f>
        <v>17.5</v>
      </c>
      <c r="X35" s="21"/>
      <c r="Y35" s="22"/>
      <c r="Z35" s="22"/>
      <c r="AA35" s="22"/>
      <c r="AB35" s="22"/>
      <c r="AC35" s="22"/>
      <c r="AD35" s="22"/>
      <c r="AE35" s="22"/>
      <c r="AF35" s="62"/>
      <c r="AG35" s="62"/>
      <c r="AH35" s="62"/>
      <c r="AI35" s="62"/>
      <c r="AJ35" s="62"/>
      <c r="AK35" s="62"/>
      <c r="AL35" s="62"/>
      <c r="AM35" s="62"/>
    </row>
    <row r="36" spans="1:39" ht="8.25">
      <c r="A36" s="18">
        <f>SUM(0+D36)</f>
        <v>81.64999999999999</v>
      </c>
      <c r="B36" s="19" t="s">
        <v>141</v>
      </c>
      <c r="C36" s="20" t="s">
        <v>5</v>
      </c>
      <c r="D36" s="21">
        <f>SUM(E36:AE36)</f>
        <v>81.64999999999999</v>
      </c>
      <c r="E36" s="23">
        <f>13*2.07</f>
        <v>26.909999999999997</v>
      </c>
      <c r="F36" s="23">
        <f>33*0.16</f>
        <v>5.28</v>
      </c>
      <c r="G36" s="22"/>
      <c r="H36" s="22"/>
      <c r="I36" s="22"/>
      <c r="J36" s="21"/>
      <c r="K36" s="21"/>
      <c r="L36" s="21"/>
      <c r="M36" s="21"/>
      <c r="N36" s="21">
        <f>60*0.38</f>
        <v>22.8</v>
      </c>
      <c r="O36" s="21"/>
      <c r="P36" s="21">
        <f>74*0.25</f>
        <v>18.5</v>
      </c>
      <c r="Q36" s="21"/>
      <c r="R36" s="21"/>
      <c r="S36" s="21"/>
      <c r="T36" s="21"/>
      <c r="U36" s="21"/>
      <c r="V36" s="21"/>
      <c r="W36" s="21"/>
      <c r="X36" s="21">
        <f>17*0.48</f>
        <v>8.16</v>
      </c>
      <c r="Y36" s="21"/>
      <c r="Z36" s="21"/>
      <c r="AA36" s="21"/>
      <c r="AB36" s="21"/>
      <c r="AC36" s="21"/>
      <c r="AD36" s="21"/>
      <c r="AE36" s="21"/>
      <c r="AF36" s="63"/>
      <c r="AG36" s="63"/>
      <c r="AH36" s="63"/>
      <c r="AI36" s="63"/>
      <c r="AJ36" s="63"/>
      <c r="AK36" s="63"/>
      <c r="AL36" s="63"/>
      <c r="AM36" s="63"/>
    </row>
    <row r="37" spans="1:39" ht="8.25">
      <c r="A37" s="18">
        <f>SUM(0+D37)</f>
        <v>81.00999999999999</v>
      </c>
      <c r="B37" s="19" t="s">
        <v>257</v>
      </c>
      <c r="C37" s="20" t="s">
        <v>35</v>
      </c>
      <c r="D37" s="21">
        <f>SUM(E37:AE37)</f>
        <v>81.00999999999999</v>
      </c>
      <c r="E37" s="21"/>
      <c r="F37" s="21"/>
      <c r="G37" s="21"/>
      <c r="H37" s="21"/>
      <c r="I37" s="21"/>
      <c r="J37" s="21"/>
      <c r="K37" s="21"/>
      <c r="L37" s="21"/>
      <c r="M37" s="21"/>
      <c r="N37" s="21">
        <f>102*0.38</f>
        <v>38.76</v>
      </c>
      <c r="O37" s="21"/>
      <c r="P37" s="21"/>
      <c r="Q37" s="21">
        <f>50*0.6</f>
        <v>30</v>
      </c>
      <c r="R37" s="21"/>
      <c r="S37" s="21"/>
      <c r="T37" s="21"/>
      <c r="U37" s="21"/>
      <c r="V37" s="21"/>
      <c r="W37" s="21">
        <f>7*1.75</f>
        <v>12.25</v>
      </c>
      <c r="X37" s="21"/>
      <c r="Y37" s="21"/>
      <c r="Z37" s="21"/>
      <c r="AA37" s="21"/>
      <c r="AB37" s="21"/>
      <c r="AC37" s="21"/>
      <c r="AD37" s="21"/>
      <c r="AE37" s="21"/>
      <c r="AF37" s="63"/>
      <c r="AG37" s="63"/>
      <c r="AH37" s="63"/>
      <c r="AI37" s="63"/>
      <c r="AJ37" s="63"/>
      <c r="AK37" s="63"/>
      <c r="AL37" s="63"/>
      <c r="AM37" s="63"/>
    </row>
    <row r="38" spans="1:39" ht="8.25">
      <c r="A38" s="18">
        <f>SUM(0+D38)</f>
        <v>74.18</v>
      </c>
      <c r="B38" s="19" t="s">
        <v>36</v>
      </c>
      <c r="C38" s="20" t="s">
        <v>17</v>
      </c>
      <c r="D38" s="21">
        <f>SUM(E38:AE38)</f>
        <v>74.18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f>70*0.89</f>
        <v>62.300000000000004</v>
      </c>
      <c r="P38" s="21"/>
      <c r="Q38" s="21"/>
      <c r="R38" s="21"/>
      <c r="S38" s="21"/>
      <c r="T38" s="21"/>
      <c r="U38" s="21"/>
      <c r="V38" s="21"/>
      <c r="W38" s="21"/>
      <c r="X38" s="21"/>
      <c r="Y38" s="21">
        <f>11*1.08</f>
        <v>11.88</v>
      </c>
      <c r="Z38" s="21"/>
      <c r="AA38" s="21"/>
      <c r="AB38" s="21"/>
      <c r="AC38" s="21"/>
      <c r="AD38" s="21"/>
      <c r="AE38" s="21"/>
      <c r="AF38" s="63"/>
      <c r="AG38" s="63"/>
      <c r="AH38" s="63"/>
      <c r="AI38" s="63"/>
      <c r="AJ38" s="63"/>
      <c r="AK38" s="63"/>
      <c r="AL38" s="63"/>
      <c r="AM38" s="63"/>
    </row>
    <row r="39" spans="1:39" ht="8.25">
      <c r="A39" s="18">
        <f>SUM(0+D39)</f>
        <v>57.75</v>
      </c>
      <c r="B39" s="19" t="s">
        <v>289</v>
      </c>
      <c r="C39" s="20" t="s">
        <v>21</v>
      </c>
      <c r="D39" s="21">
        <f>SUM(E39:AE39)</f>
        <v>57.75</v>
      </c>
      <c r="E39" s="21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1"/>
      <c r="S39" s="21"/>
      <c r="T39" s="21"/>
      <c r="U39" s="21"/>
      <c r="V39" s="21"/>
      <c r="W39" s="21">
        <f>33*1.75</f>
        <v>57.75</v>
      </c>
      <c r="X39" s="21"/>
      <c r="Y39" s="22"/>
      <c r="Z39" s="22"/>
      <c r="AA39" s="22"/>
      <c r="AB39" s="22"/>
      <c r="AC39" s="22"/>
      <c r="AD39" s="22"/>
      <c r="AE39" s="22"/>
      <c r="AF39" s="62"/>
      <c r="AG39" s="62"/>
      <c r="AH39" s="62"/>
      <c r="AI39" s="62"/>
      <c r="AJ39" s="62"/>
      <c r="AK39" s="62"/>
      <c r="AL39" s="62"/>
      <c r="AM39" s="62"/>
    </row>
    <row r="40" spans="1:39" s="24" customFormat="1" ht="8.25">
      <c r="A40" s="18">
        <f>SUM(0+D40)</f>
        <v>50.440000000000005</v>
      </c>
      <c r="B40" s="19" t="s">
        <v>227</v>
      </c>
      <c r="C40" s="20" t="s">
        <v>17</v>
      </c>
      <c r="D40" s="21">
        <f>SUM(E40:AE40)</f>
        <v>50.440000000000005</v>
      </c>
      <c r="E40" s="23"/>
      <c r="F40" s="23"/>
      <c r="G40" s="22"/>
      <c r="H40" s="22">
        <f>43*0.27</f>
        <v>11.610000000000001</v>
      </c>
      <c r="I40" s="22"/>
      <c r="J40" s="21"/>
      <c r="K40" s="21"/>
      <c r="L40" s="21"/>
      <c r="M40" s="21"/>
      <c r="N40" s="21"/>
      <c r="O40" s="21">
        <f>33*0.89</f>
        <v>29.37</v>
      </c>
      <c r="P40" s="21"/>
      <c r="Q40" s="21"/>
      <c r="R40" s="21">
        <f>43*0.22</f>
        <v>9.46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63"/>
      <c r="AG40" s="63"/>
      <c r="AH40" s="63"/>
      <c r="AI40" s="63"/>
      <c r="AJ40" s="63"/>
      <c r="AK40" s="63"/>
      <c r="AL40" s="63"/>
      <c r="AM40" s="63"/>
    </row>
    <row r="41" spans="1:39" ht="8.25">
      <c r="A41" s="18">
        <f>SUM(0+D41)</f>
        <v>49.67999999999999</v>
      </c>
      <c r="B41" s="19" t="s">
        <v>13</v>
      </c>
      <c r="C41" s="20" t="s">
        <v>9</v>
      </c>
      <c r="D41" s="21">
        <f>SUM(E41:AE41)</f>
        <v>49.67999999999999</v>
      </c>
      <c r="E41" s="23">
        <f>24*2.07</f>
        <v>49.67999999999999</v>
      </c>
      <c r="F41" s="23"/>
      <c r="G41" s="22"/>
      <c r="H41" s="22"/>
      <c r="I41" s="22"/>
      <c r="J41" s="21"/>
      <c r="K41" s="21"/>
      <c r="L41" s="21"/>
      <c r="M41" s="2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2"/>
      <c r="AB41" s="22"/>
      <c r="AC41" s="22"/>
      <c r="AD41" s="22"/>
      <c r="AE41" s="22"/>
      <c r="AF41" s="63"/>
      <c r="AG41" s="63"/>
      <c r="AH41" s="63"/>
      <c r="AI41" s="63"/>
      <c r="AJ41" s="63"/>
      <c r="AK41" s="63"/>
      <c r="AL41" s="63"/>
      <c r="AM41" s="63"/>
    </row>
    <row r="42" spans="1:39" s="24" customFormat="1" ht="8.25">
      <c r="A42" s="18">
        <f>SUM(0+D42)</f>
        <v>44.459999999999994</v>
      </c>
      <c r="B42" s="19" t="s">
        <v>205</v>
      </c>
      <c r="C42" s="20" t="s">
        <v>7</v>
      </c>
      <c r="D42" s="21">
        <f>SUM(E42:AE42)</f>
        <v>44.459999999999994</v>
      </c>
      <c r="E42" s="23"/>
      <c r="F42" s="23"/>
      <c r="G42" s="22">
        <f>39*1.14</f>
        <v>44.459999999999994</v>
      </c>
      <c r="H42" s="22"/>
      <c r="I42" s="22"/>
      <c r="J42" s="21"/>
      <c r="K42" s="21"/>
      <c r="L42" s="21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  <c r="AA42" s="22"/>
      <c r="AB42" s="22"/>
      <c r="AC42" s="22"/>
      <c r="AD42" s="22"/>
      <c r="AE42" s="22"/>
      <c r="AF42" s="62"/>
      <c r="AG42" s="62"/>
      <c r="AH42" s="62"/>
      <c r="AI42" s="62"/>
      <c r="AJ42" s="62"/>
      <c r="AK42" s="62"/>
      <c r="AL42" s="62"/>
      <c r="AM42" s="62"/>
    </row>
    <row r="43" spans="1:39" s="24" customFormat="1" ht="8.25">
      <c r="A43" s="18">
        <f>SUM(0+D43)</f>
        <v>44</v>
      </c>
      <c r="B43" s="19" t="s">
        <v>216</v>
      </c>
      <c r="C43" s="20" t="s">
        <v>14</v>
      </c>
      <c r="D43" s="21">
        <f>SUM(E43:AE43)</f>
        <v>44</v>
      </c>
      <c r="E43" s="23"/>
      <c r="F43" s="23"/>
      <c r="G43" s="22"/>
      <c r="H43" s="22"/>
      <c r="I43" s="22"/>
      <c r="J43" s="21">
        <f>40*1.1</f>
        <v>44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22"/>
      <c r="AA43" s="22"/>
      <c r="AB43" s="22"/>
      <c r="AC43" s="22"/>
      <c r="AD43" s="22"/>
      <c r="AE43" s="22"/>
      <c r="AF43" s="63"/>
      <c r="AG43" s="63"/>
      <c r="AH43" s="63"/>
      <c r="AI43" s="63"/>
      <c r="AJ43" s="63"/>
      <c r="AK43" s="63"/>
      <c r="AL43" s="63"/>
      <c r="AM43" s="63"/>
    </row>
    <row r="44" spans="1:39" s="24" customFormat="1" ht="8.25">
      <c r="A44" s="18">
        <f>SUM(0+D44)</f>
        <v>43.769999999999996</v>
      </c>
      <c r="B44" s="19" t="s">
        <v>182</v>
      </c>
      <c r="C44" s="20" t="s">
        <v>14</v>
      </c>
      <c r="D44" s="21">
        <f>SUM(E44:AE44)</f>
        <v>43.769999999999996</v>
      </c>
      <c r="E44" s="23"/>
      <c r="F44" s="23"/>
      <c r="G44" s="22"/>
      <c r="H44" s="22"/>
      <c r="I44" s="22">
        <f>12*0.96</f>
        <v>11.52</v>
      </c>
      <c r="J44" s="21"/>
      <c r="K44" s="21">
        <f>20*0.65</f>
        <v>13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>
        <f>11*1.75</f>
        <v>19.25</v>
      </c>
      <c r="X44" s="21"/>
      <c r="Y44" s="21"/>
      <c r="Z44" s="21"/>
      <c r="AA44" s="21"/>
      <c r="AB44" s="21"/>
      <c r="AC44" s="21"/>
      <c r="AD44" s="21"/>
      <c r="AE44" s="21"/>
      <c r="AF44" s="62"/>
      <c r="AG44" s="62"/>
      <c r="AH44" s="62"/>
      <c r="AI44" s="62"/>
      <c r="AJ44" s="62"/>
      <c r="AK44" s="62"/>
      <c r="AL44" s="62"/>
      <c r="AM44" s="62"/>
    </row>
    <row r="45" spans="1:39" ht="8.25">
      <c r="A45" s="18">
        <f>SUM(0+D45)</f>
        <v>41.470000000000006</v>
      </c>
      <c r="B45" s="19" t="s">
        <v>264</v>
      </c>
      <c r="C45" s="20" t="s">
        <v>17</v>
      </c>
      <c r="D45" s="21">
        <f>SUM(E45:AE45)</f>
        <v>41.470000000000006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f>43*0.89</f>
        <v>38.27</v>
      </c>
      <c r="P45" s="21"/>
      <c r="Q45" s="21"/>
      <c r="R45" s="21"/>
      <c r="S45" s="21">
        <f>16*0.2</f>
        <v>3.2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63"/>
      <c r="AG45" s="63"/>
      <c r="AH45" s="63"/>
      <c r="AI45" s="63"/>
      <c r="AJ45" s="63"/>
      <c r="AK45" s="63"/>
      <c r="AL45" s="63"/>
      <c r="AM45" s="63"/>
    </row>
    <row r="46" spans="1:39" ht="8.25">
      <c r="A46" s="18">
        <f>SUM(0+D46)</f>
        <v>39.97</v>
      </c>
      <c r="B46" s="19" t="s">
        <v>188</v>
      </c>
      <c r="C46" s="20" t="s">
        <v>37</v>
      </c>
      <c r="D46" s="21">
        <f>SUM(E46:AE46)</f>
        <v>39.97</v>
      </c>
      <c r="E46" s="23">
        <f>9*2.07</f>
        <v>18.63</v>
      </c>
      <c r="F46" s="23"/>
      <c r="G46" s="22"/>
      <c r="H46" s="22"/>
      <c r="I46" s="22"/>
      <c r="J46" s="21">
        <f>9*1.1</f>
        <v>9.9</v>
      </c>
      <c r="K46" s="21"/>
      <c r="L46" s="21">
        <f>26*0.44</f>
        <v>11.44</v>
      </c>
      <c r="M46" s="2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22"/>
      <c r="AA46" s="22"/>
      <c r="AB46" s="22"/>
      <c r="AC46" s="22"/>
      <c r="AD46" s="22"/>
      <c r="AE46" s="22"/>
      <c r="AF46" s="63"/>
      <c r="AG46" s="63"/>
      <c r="AH46" s="63"/>
      <c r="AI46" s="63"/>
      <c r="AJ46" s="63"/>
      <c r="AK46" s="63"/>
      <c r="AL46" s="63"/>
      <c r="AM46" s="63"/>
    </row>
    <row r="47" spans="1:39" ht="8.25">
      <c r="A47" s="18">
        <f>SUM(0+D47)</f>
        <v>36.6</v>
      </c>
      <c r="B47" s="19" t="s">
        <v>273</v>
      </c>
      <c r="C47" s="20" t="s">
        <v>17</v>
      </c>
      <c r="D47" s="21">
        <f>SUM(E47:AE47)</f>
        <v>36.6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f>183*0.2</f>
        <v>36.6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63"/>
      <c r="AG47" s="63"/>
      <c r="AH47" s="63"/>
      <c r="AI47" s="63"/>
      <c r="AJ47" s="63"/>
      <c r="AK47" s="63"/>
      <c r="AL47" s="63"/>
      <c r="AM47" s="63"/>
    </row>
    <row r="48" spans="1:39" s="24" customFormat="1" ht="8.25">
      <c r="A48" s="18">
        <f>SUM(0+D48)</f>
        <v>33.480000000000004</v>
      </c>
      <c r="B48" s="19" t="s">
        <v>164</v>
      </c>
      <c r="C48" s="20" t="s">
        <v>21</v>
      </c>
      <c r="D48" s="21">
        <f>SUM(E48:AE48)</f>
        <v>33.480000000000004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>31*1.08</f>
        <v>33.480000000000004</v>
      </c>
      <c r="Z48" s="21"/>
      <c r="AA48" s="21"/>
      <c r="AB48" s="21"/>
      <c r="AC48" s="21"/>
      <c r="AD48" s="21"/>
      <c r="AE48" s="21"/>
      <c r="AF48" s="63"/>
      <c r="AG48" s="63"/>
      <c r="AH48" s="63"/>
      <c r="AI48" s="63"/>
      <c r="AJ48" s="63"/>
      <c r="AK48" s="63"/>
      <c r="AL48" s="63"/>
      <c r="AM48" s="63"/>
    </row>
    <row r="49" spans="1:39" s="24" customFormat="1" ht="8.25">
      <c r="A49" s="18">
        <f>SUM(0+D49)</f>
        <v>31.2</v>
      </c>
      <c r="B49" s="19" t="s">
        <v>283</v>
      </c>
      <c r="C49" s="20" t="s">
        <v>24</v>
      </c>
      <c r="D49" s="21">
        <f>SUM(E49:AE49)</f>
        <v>31.2</v>
      </c>
      <c r="E49" s="21"/>
      <c r="F49" s="21"/>
      <c r="G49" s="21"/>
      <c r="H49" s="21"/>
      <c r="I49" s="21"/>
      <c r="J49" s="22"/>
      <c r="K49" s="22"/>
      <c r="L49" s="22"/>
      <c r="M49" s="22"/>
      <c r="N49" s="22"/>
      <c r="O49" s="22"/>
      <c r="P49" s="22"/>
      <c r="Q49" s="22"/>
      <c r="R49" s="21"/>
      <c r="S49" s="21"/>
      <c r="T49" s="21">
        <f>26*1.2</f>
        <v>31.2</v>
      </c>
      <c r="U49" s="21"/>
      <c r="V49" s="21"/>
      <c r="W49" s="21"/>
      <c r="X49" s="21"/>
      <c r="Y49" s="22"/>
      <c r="Z49" s="22"/>
      <c r="AA49" s="22"/>
      <c r="AB49" s="22"/>
      <c r="AC49" s="22"/>
      <c r="AD49" s="22"/>
      <c r="AE49" s="22"/>
      <c r="AF49" s="62"/>
      <c r="AG49" s="62"/>
      <c r="AH49" s="62"/>
      <c r="AI49" s="62"/>
      <c r="AJ49" s="62"/>
      <c r="AK49" s="62"/>
      <c r="AL49" s="62"/>
      <c r="AM49" s="62"/>
    </row>
    <row r="50" spans="1:39" s="24" customFormat="1" ht="8.25">
      <c r="A50" s="18">
        <f>SUM(0+D50)</f>
        <v>30</v>
      </c>
      <c r="B50" s="19" t="s">
        <v>234</v>
      </c>
      <c r="C50" s="20" t="s">
        <v>24</v>
      </c>
      <c r="D50" s="21">
        <f>SUM(E50:AE50)</f>
        <v>30</v>
      </c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1"/>
      <c r="P50" s="21"/>
      <c r="Q50" s="21"/>
      <c r="R50" s="21"/>
      <c r="S50" s="21"/>
      <c r="T50" s="21">
        <f>25*1.2</f>
        <v>30</v>
      </c>
      <c r="U50" s="21"/>
      <c r="V50" s="21"/>
      <c r="W50" s="21"/>
      <c r="X50" s="21"/>
      <c r="Y50" s="22"/>
      <c r="Z50" s="22"/>
      <c r="AA50" s="22"/>
      <c r="AB50" s="22"/>
      <c r="AC50" s="22"/>
      <c r="AD50" s="22"/>
      <c r="AE50" s="22"/>
      <c r="AF50" s="62"/>
      <c r="AG50" s="62"/>
      <c r="AH50" s="62"/>
      <c r="AI50" s="62"/>
      <c r="AJ50" s="62"/>
      <c r="AK50" s="62"/>
      <c r="AL50" s="62"/>
      <c r="AM50" s="62"/>
    </row>
    <row r="51" spans="1:39" s="24" customFormat="1" ht="8.25">
      <c r="A51" s="18">
        <f>SUM(0+D51)</f>
        <v>29.900000000000002</v>
      </c>
      <c r="B51" s="19" t="s">
        <v>25</v>
      </c>
      <c r="C51" s="20" t="s">
        <v>26</v>
      </c>
      <c r="D51" s="21">
        <f>SUM(E51:AE51)</f>
        <v>29.900000000000002</v>
      </c>
      <c r="E51" s="21"/>
      <c r="F51" s="23"/>
      <c r="G51" s="21"/>
      <c r="H51" s="21"/>
      <c r="I51" s="22"/>
      <c r="J51" s="21"/>
      <c r="K51" s="21">
        <f>46*0.65</f>
        <v>29.900000000000002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63"/>
      <c r="AG51" s="63"/>
      <c r="AH51" s="63"/>
      <c r="AI51" s="63"/>
      <c r="AJ51" s="63"/>
      <c r="AK51" s="63"/>
      <c r="AL51" s="63"/>
      <c r="AM51" s="63"/>
    </row>
    <row r="52" spans="1:39" s="24" customFormat="1" ht="8.25">
      <c r="A52" s="18">
        <f>SUM(0+D52)</f>
        <v>23.200000000000003</v>
      </c>
      <c r="B52" s="19" t="s">
        <v>272</v>
      </c>
      <c r="C52" s="20" t="s">
        <v>17</v>
      </c>
      <c r="D52" s="21">
        <f>SUM(E52:AE52)</f>
        <v>23.200000000000003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f>116*0.2</f>
        <v>23.200000000000003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62"/>
      <c r="AG52" s="62"/>
      <c r="AH52" s="62"/>
      <c r="AI52" s="62"/>
      <c r="AJ52" s="62"/>
      <c r="AK52" s="62"/>
      <c r="AL52" s="62"/>
      <c r="AM52" s="62"/>
    </row>
    <row r="53" spans="1:39" ht="8.25">
      <c r="A53" s="18">
        <f>SUM(0+D53)</f>
        <v>23.14</v>
      </c>
      <c r="B53" s="19" t="s">
        <v>267</v>
      </c>
      <c r="C53" s="20" t="s">
        <v>17</v>
      </c>
      <c r="D53" s="21">
        <f>SUM(E53:AE53)</f>
        <v>23.14</v>
      </c>
      <c r="E53" s="21"/>
      <c r="F53" s="21"/>
      <c r="G53" s="21"/>
      <c r="H53" s="21"/>
      <c r="I53" s="21"/>
      <c r="J53" s="22"/>
      <c r="K53" s="22"/>
      <c r="L53" s="22"/>
      <c r="M53" s="22"/>
      <c r="N53" s="21"/>
      <c r="O53" s="21">
        <f>26*0.89</f>
        <v>23.14</v>
      </c>
      <c r="P53" s="21"/>
      <c r="Q53" s="21"/>
      <c r="R53" s="21"/>
      <c r="S53" s="21"/>
      <c r="T53" s="21"/>
      <c r="U53" s="21"/>
      <c r="V53" s="21"/>
      <c r="W53" s="21"/>
      <c r="X53" s="21"/>
      <c r="Y53" s="22"/>
      <c r="Z53" s="22"/>
      <c r="AA53" s="22"/>
      <c r="AB53" s="22"/>
      <c r="AC53" s="22"/>
      <c r="AD53" s="22"/>
      <c r="AE53" s="22"/>
      <c r="AF53" s="63"/>
      <c r="AG53" s="63"/>
      <c r="AH53" s="63"/>
      <c r="AI53" s="63"/>
      <c r="AJ53" s="63"/>
      <c r="AK53" s="63"/>
      <c r="AL53" s="63"/>
      <c r="AM53" s="63"/>
    </row>
    <row r="54" spans="1:39" ht="8.25">
      <c r="A54" s="18">
        <f>SUM(0+D54)</f>
        <v>22.77</v>
      </c>
      <c r="B54" s="19" t="s">
        <v>195</v>
      </c>
      <c r="C54" s="20" t="s">
        <v>5</v>
      </c>
      <c r="D54" s="21">
        <f>SUM(E54:AE54)</f>
        <v>22.77</v>
      </c>
      <c r="E54" s="23">
        <f>11*2.07</f>
        <v>22.77</v>
      </c>
      <c r="F54" s="23"/>
      <c r="G54" s="22"/>
      <c r="H54" s="22"/>
      <c r="I54" s="22"/>
      <c r="J54" s="21"/>
      <c r="K54" s="21"/>
      <c r="L54" s="21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  <c r="AA54" s="22"/>
      <c r="AB54" s="22"/>
      <c r="AC54" s="22"/>
      <c r="AD54" s="22"/>
      <c r="AE54" s="22"/>
      <c r="AF54" s="62"/>
      <c r="AG54" s="62"/>
      <c r="AH54" s="62"/>
      <c r="AI54" s="62"/>
      <c r="AJ54" s="62"/>
      <c r="AK54" s="62"/>
      <c r="AL54" s="62"/>
      <c r="AM54" s="62"/>
    </row>
    <row r="55" spans="1:39" s="24" customFormat="1" ht="8.25">
      <c r="A55" s="18">
        <f>SUM(0+D55)</f>
        <v>22.36</v>
      </c>
      <c r="B55" s="19" t="s">
        <v>210</v>
      </c>
      <c r="C55" s="20" t="s">
        <v>7</v>
      </c>
      <c r="D55" s="21">
        <f>SUM(E55:AE55)</f>
        <v>22.36</v>
      </c>
      <c r="E55" s="23"/>
      <c r="F55" s="23"/>
      <c r="G55" s="22">
        <f>9*1.14</f>
        <v>10.26</v>
      </c>
      <c r="H55" s="22"/>
      <c r="I55" s="22"/>
      <c r="J55" s="21">
        <f>11*1.1</f>
        <v>12.100000000000001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63"/>
      <c r="AG55" s="63"/>
      <c r="AH55" s="63"/>
      <c r="AI55" s="63"/>
      <c r="AJ55" s="63"/>
      <c r="AK55" s="63"/>
      <c r="AL55" s="63"/>
      <c r="AM55" s="63"/>
    </row>
    <row r="56" spans="1:39" s="24" customFormat="1" ht="8.25">
      <c r="A56" s="18">
        <f>SUM(0+D56)</f>
        <v>20.1</v>
      </c>
      <c r="B56" s="19" t="s">
        <v>20</v>
      </c>
      <c r="C56" s="20" t="s">
        <v>17</v>
      </c>
      <c r="D56" s="21">
        <f>SUM(E56:AE56)</f>
        <v>20.1</v>
      </c>
      <c r="E56" s="21"/>
      <c r="F56" s="23"/>
      <c r="G56" s="21"/>
      <c r="H56" s="21"/>
      <c r="I56" s="22"/>
      <c r="J56" s="21"/>
      <c r="K56" s="21">
        <f>9*0.65</f>
        <v>5.8500000000000005</v>
      </c>
      <c r="L56" s="21"/>
      <c r="M56" s="21"/>
      <c r="N56" s="21"/>
      <c r="O56" s="21"/>
      <c r="P56" s="21">
        <f>57*0.25</f>
        <v>14.25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63"/>
      <c r="AG56" s="63"/>
      <c r="AH56" s="63"/>
      <c r="AI56" s="63"/>
      <c r="AJ56" s="63"/>
      <c r="AK56" s="63"/>
      <c r="AL56" s="63"/>
      <c r="AM56" s="63"/>
    </row>
    <row r="57" spans="1:39" s="24" customFormat="1" ht="8.25">
      <c r="A57" s="18">
        <f>SUM(0+D57)</f>
        <v>20</v>
      </c>
      <c r="B57" s="19" t="s">
        <v>184</v>
      </c>
      <c r="C57" s="20" t="s">
        <v>17</v>
      </c>
      <c r="D57" s="21">
        <f>SUM(E57:AE57)</f>
        <v>20</v>
      </c>
      <c r="E57" s="21"/>
      <c r="F57" s="23"/>
      <c r="G57" s="21"/>
      <c r="H57" s="21"/>
      <c r="I57" s="22">
        <f>8*0.96</f>
        <v>7.68</v>
      </c>
      <c r="J57" s="21"/>
      <c r="K57" s="21"/>
      <c r="L57" s="21"/>
      <c r="M57" s="21"/>
      <c r="N57" s="21"/>
      <c r="O57" s="21"/>
      <c r="P57" s="21"/>
      <c r="Q57" s="21"/>
      <c r="R57" s="21">
        <f>56*0.22</f>
        <v>12.32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63"/>
      <c r="AG57" s="63"/>
      <c r="AH57" s="63"/>
      <c r="AI57" s="63"/>
      <c r="AJ57" s="63"/>
      <c r="AK57" s="63"/>
      <c r="AL57" s="63"/>
      <c r="AM57" s="63"/>
    </row>
    <row r="58" spans="1:39" s="24" customFormat="1" ht="8.25">
      <c r="A58" s="18">
        <f>SUM(0+D58)</f>
        <v>18.36</v>
      </c>
      <c r="B58" s="19" t="s">
        <v>165</v>
      </c>
      <c r="C58" s="20" t="s">
        <v>21</v>
      </c>
      <c r="D58" s="21">
        <f>SUM(E58:AE58)</f>
        <v>18.36</v>
      </c>
      <c r="E58" s="22"/>
      <c r="F58" s="23"/>
      <c r="G58" s="22"/>
      <c r="H58" s="22"/>
      <c r="I58" s="22">
        <f>9*0.96</f>
        <v>8.64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f>9*1.08</f>
        <v>9.72</v>
      </c>
      <c r="Z58" s="21"/>
      <c r="AA58" s="21"/>
      <c r="AB58" s="21"/>
      <c r="AC58" s="21"/>
      <c r="AD58" s="21"/>
      <c r="AE58" s="21"/>
      <c r="AF58" s="63"/>
      <c r="AG58" s="63"/>
      <c r="AH58" s="63"/>
      <c r="AI58" s="63"/>
      <c r="AJ58" s="63"/>
      <c r="AK58" s="63"/>
      <c r="AL58" s="63"/>
      <c r="AM58" s="63"/>
    </row>
    <row r="59" spans="1:39" ht="8.25">
      <c r="A59" s="18">
        <f>SUM(0+D59)</f>
        <v>16.78</v>
      </c>
      <c r="B59" s="19" t="s">
        <v>209</v>
      </c>
      <c r="C59" s="20" t="s">
        <v>7</v>
      </c>
      <c r="D59" s="21">
        <f>SUM(E59:AE59)</f>
        <v>16.78</v>
      </c>
      <c r="E59" s="23"/>
      <c r="F59" s="23"/>
      <c r="G59" s="22">
        <f>7*1.14</f>
        <v>7.9799999999999995</v>
      </c>
      <c r="H59" s="22"/>
      <c r="I59" s="22"/>
      <c r="J59" s="21">
        <f>8*1.1</f>
        <v>8.8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63"/>
      <c r="AG59" s="63"/>
      <c r="AH59" s="63"/>
      <c r="AI59" s="63"/>
      <c r="AJ59" s="63"/>
      <c r="AK59" s="63"/>
      <c r="AL59" s="63"/>
      <c r="AM59" s="63"/>
    </row>
    <row r="60" spans="1:39" s="24" customFormat="1" ht="8.25">
      <c r="A60" s="18">
        <f>SUM(0+D60)</f>
        <v>15.200000000000001</v>
      </c>
      <c r="B60" s="19" t="s">
        <v>274</v>
      </c>
      <c r="C60" s="20" t="s">
        <v>17</v>
      </c>
      <c r="D60" s="21">
        <f>SUM(E60:AE60)</f>
        <v>15.200000000000001</v>
      </c>
      <c r="E60" s="22"/>
      <c r="F60" s="22"/>
      <c r="G60" s="22"/>
      <c r="H60" s="22"/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>
        <f>76*0.2</f>
        <v>15.200000000000001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63"/>
      <c r="AG60" s="63"/>
      <c r="AH60" s="63"/>
      <c r="AI60" s="63"/>
      <c r="AJ60" s="63"/>
      <c r="AK60" s="63"/>
      <c r="AL60" s="63"/>
      <c r="AM60" s="63"/>
    </row>
    <row r="61" spans="1:39" s="24" customFormat="1" ht="8.25">
      <c r="A61" s="18">
        <f>SUM(0+D61)</f>
        <v>14.399999999999999</v>
      </c>
      <c r="B61" s="19" t="s">
        <v>281</v>
      </c>
      <c r="C61" s="20" t="s">
        <v>24</v>
      </c>
      <c r="D61" s="21">
        <f>SUM(E61:AE61)</f>
        <v>14.399999999999999</v>
      </c>
      <c r="E61" s="21"/>
      <c r="F61" s="21"/>
      <c r="G61" s="21"/>
      <c r="H61" s="21"/>
      <c r="I61" s="21"/>
      <c r="J61" s="22"/>
      <c r="K61" s="22"/>
      <c r="L61" s="22"/>
      <c r="M61" s="22"/>
      <c r="N61" s="22"/>
      <c r="O61" s="22"/>
      <c r="P61" s="22"/>
      <c r="Q61" s="22"/>
      <c r="R61" s="21"/>
      <c r="S61" s="21"/>
      <c r="T61" s="21">
        <f>12*1.2</f>
        <v>14.399999999999999</v>
      </c>
      <c r="U61" s="21"/>
      <c r="V61" s="21"/>
      <c r="W61" s="21"/>
      <c r="X61" s="21"/>
      <c r="Y61" s="22"/>
      <c r="Z61" s="22"/>
      <c r="AA61" s="22"/>
      <c r="AB61" s="22"/>
      <c r="AC61" s="22"/>
      <c r="AD61" s="22"/>
      <c r="AE61" s="22"/>
      <c r="AF61" s="62"/>
      <c r="AG61" s="62"/>
      <c r="AH61" s="62"/>
      <c r="AI61" s="62"/>
      <c r="AJ61" s="62"/>
      <c r="AK61" s="62"/>
      <c r="AL61" s="62"/>
      <c r="AM61" s="62"/>
    </row>
    <row r="62" spans="1:39" s="24" customFormat="1" ht="8.25">
      <c r="A62" s="18">
        <f>SUM(0+D62)</f>
        <v>14.04</v>
      </c>
      <c r="B62" s="19" t="s">
        <v>142</v>
      </c>
      <c r="C62" s="20" t="s">
        <v>21</v>
      </c>
      <c r="D62" s="21">
        <f>SUM(E62:AE62)</f>
        <v>14.04</v>
      </c>
      <c r="E62" s="21"/>
      <c r="F62" s="23"/>
      <c r="G62" s="21"/>
      <c r="H62" s="21"/>
      <c r="I62" s="22"/>
      <c r="J62" s="21"/>
      <c r="K62" s="21">
        <f>9*0.65</f>
        <v>5.8500000000000005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>
        <f>9*0.91</f>
        <v>8.19</v>
      </c>
      <c r="W62" s="21"/>
      <c r="X62" s="21"/>
      <c r="Y62" s="21"/>
      <c r="Z62" s="21"/>
      <c r="AA62" s="21"/>
      <c r="AB62" s="21"/>
      <c r="AC62" s="21"/>
      <c r="AD62" s="21"/>
      <c r="AE62" s="21"/>
      <c r="AF62" s="63"/>
      <c r="AG62" s="63"/>
      <c r="AH62" s="63"/>
      <c r="AI62" s="63"/>
      <c r="AJ62" s="63"/>
      <c r="AK62" s="63"/>
      <c r="AL62" s="63"/>
      <c r="AM62" s="63"/>
    </row>
    <row r="63" spans="1:39" s="24" customFormat="1" ht="8.25">
      <c r="A63" s="18">
        <f>SUM(0+D63)</f>
        <v>13</v>
      </c>
      <c r="B63" s="19" t="s">
        <v>259</v>
      </c>
      <c r="C63" s="20" t="s">
        <v>5</v>
      </c>
      <c r="D63" s="21">
        <f>SUM(E63:AE63)</f>
        <v>13</v>
      </c>
      <c r="E63" s="21"/>
      <c r="F63" s="21"/>
      <c r="G63" s="21"/>
      <c r="H63" s="21"/>
      <c r="I63" s="21"/>
      <c r="J63" s="22"/>
      <c r="K63" s="22"/>
      <c r="L63" s="22"/>
      <c r="M63" s="22"/>
      <c r="N63" s="22"/>
      <c r="O63" s="22"/>
      <c r="P63" s="22">
        <f>52*0.25</f>
        <v>13</v>
      </c>
      <c r="Q63" s="22"/>
      <c r="R63" s="21"/>
      <c r="S63" s="21"/>
      <c r="T63" s="21"/>
      <c r="U63" s="21"/>
      <c r="V63" s="21"/>
      <c r="W63" s="21"/>
      <c r="X63" s="21"/>
      <c r="Y63" s="22"/>
      <c r="Z63" s="22"/>
      <c r="AA63" s="22"/>
      <c r="AB63" s="22"/>
      <c r="AC63" s="22"/>
      <c r="AD63" s="22"/>
      <c r="AE63" s="22"/>
      <c r="AF63" s="62"/>
      <c r="AG63" s="62"/>
      <c r="AH63" s="62"/>
      <c r="AI63" s="62"/>
      <c r="AJ63" s="62"/>
      <c r="AK63" s="62"/>
      <c r="AL63" s="62"/>
      <c r="AM63" s="62"/>
    </row>
    <row r="64" spans="1:39" s="24" customFormat="1" ht="8.25">
      <c r="A64" s="18">
        <f>SUM(0+D64)</f>
        <v>12.54</v>
      </c>
      <c r="B64" s="19" t="s">
        <v>89</v>
      </c>
      <c r="C64" s="20" t="s">
        <v>7</v>
      </c>
      <c r="D64" s="21">
        <f>SUM(E64:AE64)</f>
        <v>12.54</v>
      </c>
      <c r="E64" s="23"/>
      <c r="F64" s="23"/>
      <c r="G64" s="22">
        <f>11*1.14</f>
        <v>12.54</v>
      </c>
      <c r="H64" s="22"/>
      <c r="I64" s="2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62"/>
      <c r="AG64" s="62"/>
      <c r="AH64" s="62"/>
      <c r="AI64" s="62"/>
      <c r="AJ64" s="62"/>
      <c r="AK64" s="62"/>
      <c r="AL64" s="62"/>
      <c r="AM64" s="62"/>
    </row>
    <row r="65" spans="1:39" s="24" customFormat="1" ht="8.25">
      <c r="A65" s="18">
        <f>SUM(0+D65)</f>
        <v>9.25</v>
      </c>
      <c r="B65" s="19" t="s">
        <v>298</v>
      </c>
      <c r="C65" s="20" t="s">
        <v>5</v>
      </c>
      <c r="D65" s="21">
        <f>SUM(E65:AE65)</f>
        <v>9.25</v>
      </c>
      <c r="E65" s="21"/>
      <c r="F65" s="21"/>
      <c r="G65" s="21"/>
      <c r="H65" s="21"/>
      <c r="I65" s="21"/>
      <c r="J65" s="22"/>
      <c r="K65" s="22"/>
      <c r="L65" s="22"/>
      <c r="M65" s="22"/>
      <c r="N65" s="22"/>
      <c r="O65" s="22"/>
      <c r="P65" s="22">
        <f>37*0.25</f>
        <v>9.25</v>
      </c>
      <c r="Q65" s="22"/>
      <c r="R65" s="21"/>
      <c r="S65" s="21"/>
      <c r="T65" s="21"/>
      <c r="U65" s="21"/>
      <c r="V65" s="21"/>
      <c r="W65" s="21"/>
      <c r="X65" s="21"/>
      <c r="Y65" s="22"/>
      <c r="Z65" s="22"/>
      <c r="AA65" s="22"/>
      <c r="AB65" s="22"/>
      <c r="AC65" s="22"/>
      <c r="AD65" s="22"/>
      <c r="AE65" s="22"/>
      <c r="AF65" s="62"/>
      <c r="AG65" s="62"/>
      <c r="AH65" s="62"/>
      <c r="AI65" s="62"/>
      <c r="AJ65" s="62"/>
      <c r="AK65" s="62"/>
      <c r="AL65" s="62"/>
      <c r="AM65" s="62"/>
    </row>
    <row r="66" spans="1:39" s="24" customFormat="1" ht="8.25">
      <c r="A66" s="18">
        <f>SUM(0+D66)</f>
        <v>9.12</v>
      </c>
      <c r="B66" s="19" t="s">
        <v>208</v>
      </c>
      <c r="C66" s="20" t="s">
        <v>7</v>
      </c>
      <c r="D66" s="21">
        <f>SUM(E66:AE66)</f>
        <v>9.12</v>
      </c>
      <c r="E66" s="23"/>
      <c r="F66" s="23"/>
      <c r="G66" s="22">
        <f>8*1.14</f>
        <v>9.12</v>
      </c>
      <c r="H66" s="22"/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62"/>
      <c r="AG66" s="62"/>
      <c r="AH66" s="62"/>
      <c r="AI66" s="62"/>
      <c r="AJ66" s="62"/>
      <c r="AK66" s="62"/>
      <c r="AL66" s="62"/>
      <c r="AM66" s="62"/>
    </row>
    <row r="67" spans="1:39" s="24" customFormat="1" ht="8.25">
      <c r="A67" s="18">
        <f>SUM(0+D67)</f>
        <v>6.23</v>
      </c>
      <c r="B67" s="19" t="s">
        <v>265</v>
      </c>
      <c r="C67" s="20" t="s">
        <v>17</v>
      </c>
      <c r="D67" s="21">
        <f>SUM(E67:AE67)</f>
        <v>6.23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f>7*0.89</f>
        <v>6.23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62"/>
      <c r="AG67" s="62"/>
      <c r="AH67" s="62"/>
      <c r="AI67" s="62"/>
      <c r="AJ67" s="62"/>
      <c r="AK67" s="62"/>
      <c r="AL67" s="62"/>
      <c r="AM67" s="62"/>
    </row>
    <row r="68" spans="1:39" s="24" customFormat="1" ht="8.25">
      <c r="A68" s="18">
        <f>SUM(0+D68)</f>
        <v>5.72</v>
      </c>
      <c r="B68" s="19" t="s">
        <v>270</v>
      </c>
      <c r="C68" s="20" t="s">
        <v>17</v>
      </c>
      <c r="D68" s="21">
        <f>SUM(E68:AE68)</f>
        <v>5.72</v>
      </c>
      <c r="E68" s="22"/>
      <c r="F68" s="22"/>
      <c r="G68" s="22"/>
      <c r="H68" s="22"/>
      <c r="I68" s="22"/>
      <c r="J68" s="21"/>
      <c r="K68" s="21"/>
      <c r="L68" s="21"/>
      <c r="M68" s="21"/>
      <c r="N68" s="21"/>
      <c r="O68" s="21"/>
      <c r="P68" s="21"/>
      <c r="Q68" s="21"/>
      <c r="R68" s="21">
        <f>26*0.22</f>
        <v>5.72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63"/>
      <c r="AG68" s="63"/>
      <c r="AH68" s="63"/>
      <c r="AI68" s="63"/>
      <c r="AJ68" s="63"/>
      <c r="AK68" s="63"/>
      <c r="AL68" s="63"/>
      <c r="AM68" s="63"/>
    </row>
    <row r="69" spans="1:39" s="24" customFormat="1" ht="8.25">
      <c r="A69" s="18">
        <f>SUM(0+D69)</f>
        <v>5.3999999999999995</v>
      </c>
      <c r="B69" s="19" t="s">
        <v>292</v>
      </c>
      <c r="C69" s="20" t="s">
        <v>35</v>
      </c>
      <c r="D69" s="21">
        <f>SUM(E69:AE69)</f>
        <v>5.3999999999999995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f>9*0.6</f>
        <v>5.3999999999999995</v>
      </c>
      <c r="R69" s="21"/>
      <c r="S69" s="21"/>
      <c r="T69" s="21"/>
      <c r="U69" s="21"/>
      <c r="V69" s="21"/>
      <c r="W69" s="21"/>
      <c r="X69" s="21"/>
      <c r="Y69" s="22"/>
      <c r="Z69" s="22"/>
      <c r="AA69" s="22"/>
      <c r="AB69" s="22"/>
      <c r="AC69" s="22"/>
      <c r="AD69" s="22"/>
      <c r="AE69" s="22"/>
      <c r="AF69" s="62"/>
      <c r="AG69" s="62"/>
      <c r="AH69" s="62"/>
      <c r="AI69" s="62"/>
      <c r="AJ69" s="62"/>
      <c r="AK69" s="62"/>
      <c r="AL69" s="62"/>
      <c r="AM69" s="62"/>
    </row>
    <row r="70" spans="1:39" s="24" customFormat="1" ht="8.25">
      <c r="A70" s="18">
        <f>SUM(0+D70)</f>
        <v>4.18</v>
      </c>
      <c r="B70" s="19" t="s">
        <v>197</v>
      </c>
      <c r="C70" s="20" t="s">
        <v>35</v>
      </c>
      <c r="D70" s="21">
        <f>SUM(E70:AE70)</f>
        <v>4.18</v>
      </c>
      <c r="E70" s="22"/>
      <c r="F70" s="22"/>
      <c r="G70" s="22"/>
      <c r="H70" s="22"/>
      <c r="I70" s="22"/>
      <c r="J70" s="21"/>
      <c r="K70" s="21"/>
      <c r="L70" s="21"/>
      <c r="M70" s="21"/>
      <c r="N70" s="21">
        <f>11*0.38</f>
        <v>4.18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62"/>
      <c r="AG70" s="62"/>
      <c r="AH70" s="62"/>
      <c r="AI70" s="62"/>
      <c r="AJ70" s="62"/>
      <c r="AK70" s="62"/>
      <c r="AL70" s="62"/>
      <c r="AM70" s="62"/>
    </row>
    <row r="71" spans="1:39" ht="8.25">
      <c r="A71" s="18">
        <f>SUM(0+D71)</f>
        <v>2.16</v>
      </c>
      <c r="B71" s="19" t="s">
        <v>225</v>
      </c>
      <c r="C71" s="20" t="s">
        <v>17</v>
      </c>
      <c r="D71" s="21">
        <f>SUM(E71:AE71)</f>
        <v>2.16</v>
      </c>
      <c r="E71" s="23"/>
      <c r="F71" s="23"/>
      <c r="G71" s="21"/>
      <c r="H71" s="21">
        <f>8*0.27</f>
        <v>2.16</v>
      </c>
      <c r="I71" s="2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63"/>
      <c r="AG71" s="63"/>
      <c r="AH71" s="63"/>
      <c r="AI71" s="63"/>
      <c r="AJ71" s="63"/>
      <c r="AK71" s="63"/>
      <c r="AL71" s="63"/>
      <c r="AM71" s="63"/>
    </row>
    <row r="72" spans="2:39" ht="8.25">
      <c r="B72" s="24"/>
      <c r="C72" s="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ht="8.25">
      <c r="B73" s="24"/>
      <c r="C73" s="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2:39" ht="8.25">
      <c r="B74" s="24"/>
      <c r="C74" s="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2:39" ht="8.25">
      <c r="B75" s="24"/>
      <c r="C75" s="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2:39" ht="8.25">
      <c r="B76" s="24"/>
      <c r="C76" s="5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2:39" ht="8.25">
      <c r="B77" s="24"/>
      <c r="C77" s="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2:39" ht="8.25">
      <c r="B78" s="24"/>
      <c r="C78" s="5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2:39" ht="8.25">
      <c r="B79" s="24"/>
      <c r="C79" s="5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2:39" ht="8.25">
      <c r="B80" s="24"/>
      <c r="C80" s="5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2:39" ht="8.25">
      <c r="B81" s="24"/>
      <c r="C81" s="5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2:39" ht="8.25">
      <c r="B82" s="24"/>
      <c r="C82" s="5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2:39" ht="8.25">
      <c r="B83" s="24"/>
      <c r="C83" s="5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</sheetData>
  <sheetProtection/>
  <printOptions/>
  <pageMargins left="0" right="0" top="0.984251968503937" bottom="0.1968503937007874" header="0.31496062992125984" footer="0.5118110236220472"/>
  <pageSetup horizontalDpi="300" verticalDpi="300" orientation="landscape" paperSize="9" r:id="rId1"/>
  <headerFooter alignWithMargins="0">
    <oddHeader>&amp;CRANKING NACIONAL DAS RAÇAS PÔNEI
MELHOR CRIADOR/EXPOSITOR 2004
RAÇA PÔNEI BRASILEIRO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="160" zoomScaleNormal="160" zoomScalePageLayoutView="0" workbookViewId="0" topLeftCell="A55">
      <selection activeCell="A1" sqref="A1:IV67"/>
    </sheetView>
  </sheetViews>
  <sheetFormatPr defaultColWidth="9.140625" defaultRowHeight="12.75"/>
  <cols>
    <col min="1" max="1" width="4.7109375" style="74" customWidth="1"/>
    <col min="2" max="2" width="18.7109375" style="31" customWidth="1"/>
    <col min="3" max="3" width="3.28125" style="32" customWidth="1"/>
    <col min="4" max="4" width="4.8515625" style="31" customWidth="1"/>
    <col min="5" max="13" width="7.7109375" style="31" customWidth="1"/>
    <col min="14" max="16384" width="9.140625" style="31" customWidth="1"/>
  </cols>
  <sheetData>
    <row r="1" spans="1:13" s="5" customFormat="1" ht="10.5" customHeight="1">
      <c r="A1" s="70">
        <v>9999</v>
      </c>
      <c r="B1" s="67"/>
      <c r="C1" s="2" t="s">
        <v>4</v>
      </c>
      <c r="D1" s="3" t="s">
        <v>1</v>
      </c>
      <c r="E1" s="3" t="s">
        <v>0</v>
      </c>
      <c r="F1" s="3" t="s">
        <v>236</v>
      </c>
      <c r="G1" s="3" t="s">
        <v>111</v>
      </c>
      <c r="H1" s="3" t="s">
        <v>220</v>
      </c>
      <c r="I1" s="3" t="s">
        <v>65</v>
      </c>
      <c r="J1" s="3" t="s">
        <v>44</v>
      </c>
      <c r="K1" s="3" t="s">
        <v>242</v>
      </c>
      <c r="L1" s="3" t="s">
        <v>240</v>
      </c>
      <c r="M1" s="3" t="s">
        <v>253</v>
      </c>
    </row>
    <row r="2" spans="1:13" s="5" customFormat="1" ht="10.5" customHeight="1">
      <c r="A2" s="70">
        <v>9998</v>
      </c>
      <c r="B2" s="68" t="s">
        <v>32</v>
      </c>
      <c r="C2" s="6"/>
      <c r="D2" s="7"/>
      <c r="E2" s="8" t="s">
        <v>193</v>
      </c>
      <c r="F2" s="8" t="s">
        <v>237</v>
      </c>
      <c r="G2" s="8" t="s">
        <v>202</v>
      </c>
      <c r="H2" s="8" t="s">
        <v>221</v>
      </c>
      <c r="I2" s="8" t="s">
        <v>228</v>
      </c>
      <c r="J2" s="8" t="s">
        <v>215</v>
      </c>
      <c r="K2" s="8" t="s">
        <v>243</v>
      </c>
      <c r="L2" s="8" t="s">
        <v>241</v>
      </c>
      <c r="M2" s="8" t="s">
        <v>254</v>
      </c>
    </row>
    <row r="3" spans="1:13" s="13" customFormat="1" ht="10.5" customHeight="1">
      <c r="A3" s="70">
        <v>9997</v>
      </c>
      <c r="B3" s="69"/>
      <c r="C3" s="10"/>
      <c r="D3" s="11"/>
      <c r="E3" s="11">
        <f>(1.8*1.15)</f>
        <v>2.07</v>
      </c>
      <c r="F3" s="11">
        <v>0.16</v>
      </c>
      <c r="G3" s="11">
        <v>1.14</v>
      </c>
      <c r="H3" s="11">
        <v>0.27</v>
      </c>
      <c r="I3" s="11">
        <v>0.96</v>
      </c>
      <c r="J3" s="11">
        <v>1.1</v>
      </c>
      <c r="K3" s="11">
        <v>0.65</v>
      </c>
      <c r="L3" s="11">
        <v>0.44</v>
      </c>
      <c r="M3" s="11">
        <v>1</v>
      </c>
    </row>
    <row r="4" spans="1:13" s="5" customFormat="1" ht="10.5" customHeight="1">
      <c r="A4" s="70">
        <v>9996</v>
      </c>
      <c r="B4" s="41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35"/>
    </row>
    <row r="5" spans="1:13" s="24" customFormat="1" ht="10.5" customHeight="1">
      <c r="A5" s="71">
        <f>D5</f>
        <v>1743.76</v>
      </c>
      <c r="B5" s="19" t="s">
        <v>87</v>
      </c>
      <c r="C5" s="20" t="s">
        <v>7</v>
      </c>
      <c r="D5" s="25">
        <v>1743.76</v>
      </c>
      <c r="E5" s="23">
        <f>294*2.07</f>
        <v>608.5799999999999</v>
      </c>
      <c r="F5" s="23"/>
      <c r="G5" s="23">
        <f>300*1.14</f>
        <v>341.99999999999994</v>
      </c>
      <c r="H5" s="23"/>
      <c r="I5" s="23">
        <f>8*0.96</f>
        <v>7.68</v>
      </c>
      <c r="J5" s="23">
        <f>385*1.1</f>
        <v>423.50000000000006</v>
      </c>
      <c r="K5" s="23"/>
      <c r="L5" s="23"/>
      <c r="M5" s="23">
        <v>362</v>
      </c>
    </row>
    <row r="6" spans="1:13" s="24" customFormat="1" ht="10.5" customHeight="1">
      <c r="A6" s="71">
        <f>D6</f>
        <v>1249.77</v>
      </c>
      <c r="B6" s="19" t="s">
        <v>183</v>
      </c>
      <c r="C6" s="20" t="s">
        <v>7</v>
      </c>
      <c r="D6" s="25">
        <v>1249.77</v>
      </c>
      <c r="E6" s="23">
        <f>233*2.07</f>
        <v>482.30999999999995</v>
      </c>
      <c r="F6" s="23"/>
      <c r="G6" s="23">
        <f>220*1.14</f>
        <v>250.79999999999998</v>
      </c>
      <c r="H6" s="23"/>
      <c r="I6" s="23">
        <f>26*0.96</f>
        <v>24.96</v>
      </c>
      <c r="J6" s="23">
        <f>227*1.1</f>
        <v>249.70000000000002</v>
      </c>
      <c r="K6" s="23"/>
      <c r="L6" s="23"/>
      <c r="M6" s="23">
        <v>242</v>
      </c>
    </row>
    <row r="7" spans="1:13" s="24" customFormat="1" ht="10.5" customHeight="1">
      <c r="A7" s="71">
        <f>D7</f>
        <v>1145.78</v>
      </c>
      <c r="B7" s="19" t="s">
        <v>194</v>
      </c>
      <c r="C7" s="20" t="s">
        <v>21</v>
      </c>
      <c r="D7" s="25">
        <v>1145.78</v>
      </c>
      <c r="E7" s="23">
        <f>234*2.07</f>
        <v>484.37999999999994</v>
      </c>
      <c r="F7" s="23"/>
      <c r="G7" s="23">
        <f>190*1.14</f>
        <v>216.6</v>
      </c>
      <c r="H7" s="23"/>
      <c r="I7" s="23">
        <f>160*0.96</f>
        <v>153.6</v>
      </c>
      <c r="J7" s="23"/>
      <c r="K7" s="23">
        <f>448*0.65</f>
        <v>291.2</v>
      </c>
      <c r="L7" s="23"/>
      <c r="M7" s="23"/>
    </row>
    <row r="8" spans="1:13" s="24" customFormat="1" ht="10.5" customHeight="1">
      <c r="A8" s="71">
        <f>D8</f>
        <v>870.24</v>
      </c>
      <c r="B8" s="19" t="s">
        <v>38</v>
      </c>
      <c r="C8" s="20" t="s">
        <v>37</v>
      </c>
      <c r="D8" s="25">
        <v>870.24</v>
      </c>
      <c r="E8" s="23">
        <f>128*2.07</f>
        <v>264.96</v>
      </c>
      <c r="F8" s="23">
        <f>33*0.16</f>
        <v>5.28</v>
      </c>
      <c r="G8" s="23"/>
      <c r="H8" s="23"/>
      <c r="I8" s="23"/>
      <c r="J8" s="23">
        <f>176*1.1</f>
        <v>193.60000000000002</v>
      </c>
      <c r="K8" s="23"/>
      <c r="L8" s="23">
        <f>410*0.44</f>
        <v>180.4</v>
      </c>
      <c r="M8" s="23">
        <v>226</v>
      </c>
    </row>
    <row r="9" spans="1:13" s="24" customFormat="1" ht="10.5" customHeight="1">
      <c r="A9" s="71">
        <f>D9</f>
        <v>675.84</v>
      </c>
      <c r="B9" s="19" t="s">
        <v>203</v>
      </c>
      <c r="C9" s="20" t="s">
        <v>14</v>
      </c>
      <c r="D9" s="25">
        <v>675.84</v>
      </c>
      <c r="E9" s="23"/>
      <c r="F9" s="23"/>
      <c r="G9" s="23">
        <f>236*1.14</f>
        <v>269.03999999999996</v>
      </c>
      <c r="H9" s="23"/>
      <c r="I9" s="23"/>
      <c r="J9" s="23">
        <f>208*1.1</f>
        <v>228.8</v>
      </c>
      <c r="K9" s="23"/>
      <c r="L9" s="23"/>
      <c r="M9" s="23">
        <v>178</v>
      </c>
    </row>
    <row r="10" spans="1:13" s="24" customFormat="1" ht="10.5" customHeight="1">
      <c r="A10" s="72"/>
      <c r="B10" s="66" t="s">
        <v>33</v>
      </c>
      <c r="C10" s="20"/>
      <c r="D10" s="25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24" customFormat="1" ht="10.5" customHeight="1">
      <c r="A11" s="71">
        <f>D11</f>
        <v>437.1</v>
      </c>
      <c r="B11" s="19" t="s">
        <v>152</v>
      </c>
      <c r="C11" s="20" t="s">
        <v>37</v>
      </c>
      <c r="D11" s="25">
        <v>437.1</v>
      </c>
      <c r="E11" s="23">
        <f>20*2.07</f>
        <v>41.4</v>
      </c>
      <c r="F11" s="23"/>
      <c r="G11" s="23"/>
      <c r="H11" s="23"/>
      <c r="I11" s="23"/>
      <c r="J11" s="23">
        <f>119*1.1</f>
        <v>130.9</v>
      </c>
      <c r="K11" s="23"/>
      <c r="L11" s="23">
        <f>245*0.44</f>
        <v>107.8</v>
      </c>
      <c r="M11" s="25">
        <v>157</v>
      </c>
    </row>
    <row r="12" spans="1:13" s="24" customFormat="1" ht="10.5" customHeight="1">
      <c r="A12" s="71">
        <f>D12</f>
        <v>421.85</v>
      </c>
      <c r="B12" s="19" t="s">
        <v>3</v>
      </c>
      <c r="C12" s="20" t="s">
        <v>7</v>
      </c>
      <c r="D12" s="25">
        <v>421.85</v>
      </c>
      <c r="E12" s="23">
        <f>119*2.07</f>
        <v>246.32999999999998</v>
      </c>
      <c r="F12" s="23">
        <f>71*0.16</f>
        <v>11.36</v>
      </c>
      <c r="G12" s="23">
        <f>144*1.14</f>
        <v>164.16</v>
      </c>
      <c r="H12" s="23"/>
      <c r="I12" s="23"/>
      <c r="J12" s="23"/>
      <c r="K12" s="23"/>
      <c r="L12" s="23"/>
      <c r="M12" s="23"/>
    </row>
    <row r="13" spans="1:13" s="24" customFormat="1" ht="10.5" customHeight="1">
      <c r="A13" s="71">
        <f>D13</f>
        <v>397.44</v>
      </c>
      <c r="B13" s="19" t="s">
        <v>23</v>
      </c>
      <c r="C13" s="20" t="s">
        <v>24</v>
      </c>
      <c r="D13" s="25">
        <v>397.44</v>
      </c>
      <c r="E13" s="23"/>
      <c r="F13" s="23"/>
      <c r="G13" s="23"/>
      <c r="H13" s="23"/>
      <c r="I13" s="23">
        <f>414*0.96</f>
        <v>397.44</v>
      </c>
      <c r="J13" s="23"/>
      <c r="K13" s="23"/>
      <c r="L13" s="23"/>
      <c r="M13" s="23"/>
    </row>
    <row r="14" spans="1:13" s="24" customFormat="1" ht="10.5" customHeight="1">
      <c r="A14" s="71">
        <f>D14</f>
        <v>387.94</v>
      </c>
      <c r="B14" s="19" t="s">
        <v>195</v>
      </c>
      <c r="C14" s="20" t="s">
        <v>21</v>
      </c>
      <c r="D14" s="25">
        <v>387.94</v>
      </c>
      <c r="E14" s="23">
        <f>40*2.07</f>
        <v>82.8</v>
      </c>
      <c r="F14" s="23">
        <f>51*0.16</f>
        <v>8.16</v>
      </c>
      <c r="G14" s="23">
        <f>69*1.14</f>
        <v>78.66</v>
      </c>
      <c r="H14" s="23"/>
      <c r="I14" s="23">
        <f>92*0.96</f>
        <v>88.32</v>
      </c>
      <c r="J14" s="23"/>
      <c r="K14" s="23">
        <f>200*0.65</f>
        <v>130</v>
      </c>
      <c r="L14" s="23"/>
      <c r="M14" s="23"/>
    </row>
    <row r="15" spans="1:13" s="24" customFormat="1" ht="10.5" customHeight="1">
      <c r="A15" s="71">
        <f>D15</f>
        <v>387.56</v>
      </c>
      <c r="B15" s="19" t="s">
        <v>18</v>
      </c>
      <c r="C15" s="20" t="s">
        <v>14</v>
      </c>
      <c r="D15" s="25">
        <v>387.56</v>
      </c>
      <c r="E15" s="23"/>
      <c r="F15" s="23">
        <f>58*0.16</f>
        <v>9.28</v>
      </c>
      <c r="G15" s="23">
        <f>192*1.14</f>
        <v>218.88</v>
      </c>
      <c r="H15" s="23"/>
      <c r="I15" s="23"/>
      <c r="J15" s="23">
        <f>84*1.1</f>
        <v>92.4</v>
      </c>
      <c r="K15" s="23"/>
      <c r="L15" s="23"/>
      <c r="M15" s="23">
        <v>67</v>
      </c>
    </row>
    <row r="16" spans="1:13" s="24" customFormat="1" ht="10.5" customHeight="1">
      <c r="A16" s="71"/>
      <c r="B16" s="66" t="s">
        <v>34</v>
      </c>
      <c r="C16" s="20"/>
      <c r="D16" s="25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24" customFormat="1" ht="10.5" customHeight="1">
      <c r="A17" s="71">
        <f aca="true" t="shared" si="0" ref="A17:A22">D17</f>
        <v>359.64</v>
      </c>
      <c r="B17" s="19" t="s">
        <v>180</v>
      </c>
      <c r="C17" s="20" t="s">
        <v>21</v>
      </c>
      <c r="D17" s="25">
        <v>359.64</v>
      </c>
      <c r="E17" s="23">
        <f>68*2.07</f>
        <v>140.76</v>
      </c>
      <c r="F17" s="23"/>
      <c r="G17" s="23"/>
      <c r="H17" s="23"/>
      <c r="I17" s="23">
        <f>228*0.96</f>
        <v>218.88</v>
      </c>
      <c r="J17" s="23"/>
      <c r="K17" s="23"/>
      <c r="L17" s="23"/>
      <c r="M17" s="23"/>
    </row>
    <row r="18" spans="1:13" s="24" customFormat="1" ht="10.5" customHeight="1">
      <c r="A18" s="71">
        <f t="shared" si="0"/>
        <v>354</v>
      </c>
      <c r="B18" s="19" t="s">
        <v>186</v>
      </c>
      <c r="C18" s="20" t="s">
        <v>7</v>
      </c>
      <c r="D18" s="25">
        <v>354</v>
      </c>
      <c r="E18" s="23">
        <f>122*2.07</f>
        <v>252.54</v>
      </c>
      <c r="F18" s="23"/>
      <c r="G18" s="23">
        <f>89*1.14</f>
        <v>101.46</v>
      </c>
      <c r="H18" s="23"/>
      <c r="I18" s="23"/>
      <c r="J18" s="23"/>
      <c r="K18" s="23"/>
      <c r="L18" s="23"/>
      <c r="M18" s="25"/>
    </row>
    <row r="19" spans="1:13" s="24" customFormat="1" ht="10.5" customHeight="1">
      <c r="A19" s="71">
        <f t="shared" si="0"/>
        <v>309.19</v>
      </c>
      <c r="B19" s="19" t="s">
        <v>185</v>
      </c>
      <c r="C19" s="20" t="s">
        <v>37</v>
      </c>
      <c r="D19" s="25">
        <v>309.19</v>
      </c>
      <c r="E19" s="23">
        <f>67*2.07</f>
        <v>138.69</v>
      </c>
      <c r="F19" s="23"/>
      <c r="G19" s="23"/>
      <c r="H19" s="23"/>
      <c r="I19" s="23"/>
      <c r="J19" s="23">
        <f>155*1.1</f>
        <v>170.5</v>
      </c>
      <c r="K19" s="23"/>
      <c r="L19" s="23"/>
      <c r="M19" s="23"/>
    </row>
    <row r="20" spans="1:13" s="24" customFormat="1" ht="10.5" customHeight="1">
      <c r="A20" s="71">
        <f t="shared" si="0"/>
        <v>284.85</v>
      </c>
      <c r="B20" s="19" t="s">
        <v>181</v>
      </c>
      <c r="C20" s="20" t="s">
        <v>21</v>
      </c>
      <c r="D20" s="25">
        <v>284.85</v>
      </c>
      <c r="E20" s="23">
        <f>57*2.07</f>
        <v>117.99</v>
      </c>
      <c r="F20" s="23"/>
      <c r="G20" s="23">
        <f>34*1.14</f>
        <v>38.76</v>
      </c>
      <c r="H20" s="23"/>
      <c r="I20" s="23">
        <f>105*0.96</f>
        <v>100.8</v>
      </c>
      <c r="J20" s="23"/>
      <c r="K20" s="23">
        <f>42*0.65</f>
        <v>27.3</v>
      </c>
      <c r="L20" s="23"/>
      <c r="M20" s="23"/>
    </row>
    <row r="21" spans="1:13" s="24" customFormat="1" ht="10.5" customHeight="1">
      <c r="A21" s="71">
        <f t="shared" si="0"/>
        <v>227.55</v>
      </c>
      <c r="B21" s="19" t="s">
        <v>196</v>
      </c>
      <c r="C21" s="20" t="s">
        <v>37</v>
      </c>
      <c r="D21" s="25">
        <v>227.55</v>
      </c>
      <c r="E21" s="23">
        <f>33*2.07</f>
        <v>68.30999999999999</v>
      </c>
      <c r="F21" s="23"/>
      <c r="G21" s="23"/>
      <c r="H21" s="23"/>
      <c r="I21" s="23"/>
      <c r="J21" s="23">
        <f>24*1.1</f>
        <v>26.400000000000002</v>
      </c>
      <c r="K21" s="23"/>
      <c r="L21" s="23">
        <f>136*0.44</f>
        <v>59.84</v>
      </c>
      <c r="M21" s="25">
        <v>73</v>
      </c>
    </row>
    <row r="22" spans="1:13" s="24" customFormat="1" ht="10.5" customHeight="1">
      <c r="A22" s="71">
        <f t="shared" si="0"/>
        <v>14.82</v>
      </c>
      <c r="B22" s="19" t="s">
        <v>138</v>
      </c>
      <c r="C22" s="20" t="s">
        <v>5</v>
      </c>
      <c r="D22" s="21">
        <v>14.82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3" s="24" customFormat="1" ht="10.5" customHeight="1">
      <c r="A23" s="73"/>
      <c r="C23" s="5"/>
    </row>
    <row r="24" spans="1:13" s="5" customFormat="1" ht="10.5" customHeight="1">
      <c r="A24" s="70">
        <v>9999</v>
      </c>
      <c r="B24" s="67"/>
      <c r="C24" s="2" t="s">
        <v>4</v>
      </c>
      <c r="D24" s="3" t="s">
        <v>1</v>
      </c>
      <c r="E24" s="3" t="s">
        <v>0</v>
      </c>
      <c r="F24" s="3" t="s">
        <v>236</v>
      </c>
      <c r="G24" s="3" t="s">
        <v>201</v>
      </c>
      <c r="H24" s="3" t="s">
        <v>220</v>
      </c>
      <c r="I24" s="3" t="s">
        <v>65</v>
      </c>
      <c r="J24" s="3" t="s">
        <v>44</v>
      </c>
      <c r="K24" s="3" t="s">
        <v>242</v>
      </c>
      <c r="L24" s="3" t="s">
        <v>240</v>
      </c>
      <c r="M24" s="3" t="s">
        <v>253</v>
      </c>
    </row>
    <row r="25" spans="1:13" s="5" customFormat="1" ht="10.5" customHeight="1">
      <c r="A25" s="70">
        <v>9998</v>
      </c>
      <c r="B25" s="68" t="s">
        <v>31</v>
      </c>
      <c r="C25" s="6"/>
      <c r="D25" s="7"/>
      <c r="E25" s="8" t="s">
        <v>193</v>
      </c>
      <c r="F25" s="8" t="s">
        <v>237</v>
      </c>
      <c r="G25" s="8" t="s">
        <v>202</v>
      </c>
      <c r="H25" s="8" t="s">
        <v>221</v>
      </c>
      <c r="I25" s="8" t="s">
        <v>228</v>
      </c>
      <c r="J25" s="8" t="s">
        <v>215</v>
      </c>
      <c r="K25" s="8" t="s">
        <v>243</v>
      </c>
      <c r="L25" s="8" t="s">
        <v>241</v>
      </c>
      <c r="M25" s="8" t="s">
        <v>254</v>
      </c>
    </row>
    <row r="26" spans="1:13" s="13" customFormat="1" ht="10.5" customHeight="1">
      <c r="A26" s="70">
        <v>9997</v>
      </c>
      <c r="B26" s="69"/>
      <c r="C26" s="10"/>
      <c r="D26" s="11"/>
      <c r="E26" s="11">
        <f>(1.8*1.15)</f>
        <v>2.07</v>
      </c>
      <c r="F26" s="11">
        <v>0.16</v>
      </c>
      <c r="G26" s="11">
        <v>1.14</v>
      </c>
      <c r="H26" s="11">
        <v>0.27</v>
      </c>
      <c r="I26" s="11">
        <v>0.96</v>
      </c>
      <c r="J26" s="11">
        <v>1.1</v>
      </c>
      <c r="K26" s="11">
        <v>0.65</v>
      </c>
      <c r="L26" s="11">
        <v>0.44</v>
      </c>
      <c r="M26" s="11">
        <v>1</v>
      </c>
    </row>
    <row r="27" spans="1:13" s="5" customFormat="1" ht="10.5" customHeight="1">
      <c r="A27" s="70">
        <v>9996</v>
      </c>
      <c r="B27" s="41" t="s">
        <v>2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35"/>
    </row>
    <row r="28" spans="1:13" s="24" customFormat="1" ht="10.5" customHeight="1">
      <c r="A28" s="71">
        <f>D28</f>
        <v>1898.87</v>
      </c>
      <c r="B28" s="19" t="s">
        <v>18</v>
      </c>
      <c r="C28" s="20" t="s">
        <v>14</v>
      </c>
      <c r="D28" s="25">
        <v>1898.87</v>
      </c>
      <c r="E28" s="57">
        <f>168*2.07</f>
        <v>347.76</v>
      </c>
      <c r="F28" s="23">
        <f>89*0.16</f>
        <v>14.24</v>
      </c>
      <c r="G28" s="57">
        <f>554*1.14</f>
        <v>631.56</v>
      </c>
      <c r="H28" s="23"/>
      <c r="I28" s="23">
        <f>124*0.96</f>
        <v>119.03999999999999</v>
      </c>
      <c r="J28" s="58">
        <f>421*1.1</f>
        <v>463.1</v>
      </c>
      <c r="K28" s="58">
        <f>193*0.65</f>
        <v>125.45</v>
      </c>
      <c r="L28" s="25">
        <f>64*0.44</f>
        <v>28.16</v>
      </c>
      <c r="M28" s="58">
        <v>331</v>
      </c>
    </row>
    <row r="29" spans="1:13" s="24" customFormat="1" ht="10.5" customHeight="1">
      <c r="A29" s="71">
        <f>D29</f>
        <v>1051.4</v>
      </c>
      <c r="B29" s="19" t="s">
        <v>183</v>
      </c>
      <c r="C29" s="20" t="s">
        <v>7</v>
      </c>
      <c r="D29" s="25">
        <v>1051.4</v>
      </c>
      <c r="E29" s="57">
        <f>244*2.07</f>
        <v>505.08</v>
      </c>
      <c r="F29" s="23"/>
      <c r="G29" s="57">
        <f>125*1.14</f>
        <v>142.5</v>
      </c>
      <c r="H29" s="23"/>
      <c r="I29" s="57">
        <f>32*0.96</f>
        <v>30.72</v>
      </c>
      <c r="J29" s="58">
        <f>171*1.1</f>
        <v>188.10000000000002</v>
      </c>
      <c r="K29" s="25">
        <f>35*0.65</f>
        <v>22.75</v>
      </c>
      <c r="L29" s="25">
        <f>9*0.44</f>
        <v>3.96</v>
      </c>
      <c r="M29" s="57">
        <v>185</v>
      </c>
    </row>
    <row r="30" spans="1:13" s="24" customFormat="1" ht="10.5" customHeight="1">
      <c r="A30" s="71">
        <f>D30</f>
        <v>885.85</v>
      </c>
      <c r="B30" s="19" t="s">
        <v>186</v>
      </c>
      <c r="C30" s="20" t="s">
        <v>7</v>
      </c>
      <c r="D30" s="25">
        <v>885.85</v>
      </c>
      <c r="E30" s="23">
        <f>227*2.07</f>
        <v>469.89</v>
      </c>
      <c r="F30" s="23"/>
      <c r="G30" s="23">
        <f>189*1.14</f>
        <v>215.45999999999998</v>
      </c>
      <c r="H30" s="23"/>
      <c r="I30" s="23">
        <f>15*0.96</f>
        <v>14.399999999999999</v>
      </c>
      <c r="J30" s="25">
        <f>81*1.1</f>
        <v>89.10000000000001</v>
      </c>
      <c r="K30" s="25"/>
      <c r="L30" s="25"/>
      <c r="M30" s="23">
        <v>97</v>
      </c>
    </row>
    <row r="31" spans="1:13" s="24" customFormat="1" ht="10.5" customHeight="1">
      <c r="A31" s="71">
        <f>D31</f>
        <v>814.03</v>
      </c>
      <c r="B31" s="19" t="s">
        <v>3</v>
      </c>
      <c r="C31" s="20" t="s">
        <v>7</v>
      </c>
      <c r="D31" s="25">
        <v>814.03</v>
      </c>
      <c r="E31" s="57">
        <f>212*2.07</f>
        <v>438.84</v>
      </c>
      <c r="F31" s="23">
        <f>93*0.16</f>
        <v>14.88</v>
      </c>
      <c r="G31" s="57">
        <f>119*1.14</f>
        <v>135.66</v>
      </c>
      <c r="H31" s="23"/>
      <c r="I31" s="57">
        <f>103*0.96</f>
        <v>98.88</v>
      </c>
      <c r="J31" s="58">
        <f>67*1.1</f>
        <v>73.7</v>
      </c>
      <c r="K31" s="58">
        <f>103*0.65</f>
        <v>66.95</v>
      </c>
      <c r="L31" s="25">
        <f>33*0.44</f>
        <v>14.52</v>
      </c>
      <c r="M31" s="23">
        <v>64</v>
      </c>
    </row>
    <row r="32" spans="1:13" s="24" customFormat="1" ht="10.5" customHeight="1">
      <c r="A32" s="71">
        <f>D32</f>
        <v>753.32</v>
      </c>
      <c r="B32" s="19" t="s">
        <v>87</v>
      </c>
      <c r="C32" s="20" t="s">
        <v>7</v>
      </c>
      <c r="D32" s="25">
        <v>753.32</v>
      </c>
      <c r="E32" s="57">
        <f>138*2.07</f>
        <v>285.65999999999997</v>
      </c>
      <c r="F32" s="23"/>
      <c r="G32" s="57">
        <f>159*1.14</f>
        <v>181.26</v>
      </c>
      <c r="H32" s="23"/>
      <c r="I32" s="23">
        <f>15*0.96</f>
        <v>14.399999999999999</v>
      </c>
      <c r="J32" s="58">
        <f>98*1.1</f>
        <v>107.80000000000001</v>
      </c>
      <c r="K32" s="58">
        <f>64*0.65</f>
        <v>41.6</v>
      </c>
      <c r="L32" s="25"/>
      <c r="M32" s="57">
        <v>137</v>
      </c>
    </row>
    <row r="33" ht="10.5" customHeight="1"/>
    <row r="34" spans="1:13" s="24" customFormat="1" ht="10.5" customHeight="1">
      <c r="A34" s="71"/>
      <c r="B34" s="66" t="s">
        <v>33</v>
      </c>
      <c r="C34" s="20"/>
      <c r="D34" s="25"/>
      <c r="E34" s="23"/>
      <c r="F34" s="23"/>
      <c r="G34" s="23"/>
      <c r="H34" s="23"/>
      <c r="I34" s="23"/>
      <c r="J34" s="25"/>
      <c r="K34" s="25"/>
      <c r="L34" s="25"/>
      <c r="M34" s="25"/>
    </row>
    <row r="35" spans="1:13" s="24" customFormat="1" ht="10.5" customHeight="1">
      <c r="A35" s="71">
        <f>D35</f>
        <v>736.11</v>
      </c>
      <c r="B35" s="19" t="s">
        <v>38</v>
      </c>
      <c r="C35" s="20" t="s">
        <v>37</v>
      </c>
      <c r="D35" s="25">
        <v>736.11</v>
      </c>
      <c r="E35" s="57">
        <f>125*2.07</f>
        <v>258.75</v>
      </c>
      <c r="F35" s="23">
        <f>33*0.16</f>
        <v>5.28</v>
      </c>
      <c r="G35" s="23">
        <f>57*1.14</f>
        <v>64.97999999999999</v>
      </c>
      <c r="H35" s="23"/>
      <c r="I35" s="23"/>
      <c r="J35" s="58">
        <f>94*1.1</f>
        <v>103.4</v>
      </c>
      <c r="K35" s="58">
        <f>108*0.65</f>
        <v>70.2</v>
      </c>
      <c r="L35" s="58">
        <f>354*0.44</f>
        <v>155.76</v>
      </c>
      <c r="M35" s="58">
        <v>148</v>
      </c>
    </row>
    <row r="36" spans="1:13" s="24" customFormat="1" ht="10.5" customHeight="1">
      <c r="A36" s="71">
        <f>D36</f>
        <v>552.17</v>
      </c>
      <c r="B36" s="19" t="s">
        <v>23</v>
      </c>
      <c r="C36" s="20" t="s">
        <v>24</v>
      </c>
      <c r="D36" s="25">
        <v>552.17</v>
      </c>
      <c r="E36" s="23">
        <f>35*2.07</f>
        <v>72.44999999999999</v>
      </c>
      <c r="F36" s="23"/>
      <c r="G36" s="23">
        <f>8*1.14</f>
        <v>9.12</v>
      </c>
      <c r="H36" s="23"/>
      <c r="I36" s="23">
        <f>455*0.96</f>
        <v>436.8</v>
      </c>
      <c r="J36" s="25"/>
      <c r="K36" s="25">
        <f>52*0.65</f>
        <v>33.800000000000004</v>
      </c>
      <c r="L36" s="25"/>
      <c r="M36" s="23"/>
    </row>
    <row r="37" spans="1:13" s="24" customFormat="1" ht="10.5" customHeight="1">
      <c r="A37" s="71">
        <f>D37</f>
        <v>423.39</v>
      </c>
      <c r="B37" s="19" t="s">
        <v>144</v>
      </c>
      <c r="C37" s="20" t="s">
        <v>14</v>
      </c>
      <c r="D37" s="25">
        <v>423.39</v>
      </c>
      <c r="E37" s="57">
        <f>69*2.07</f>
        <v>142.82999999999998</v>
      </c>
      <c r="F37" s="23"/>
      <c r="G37" s="57">
        <f>76*1.14</f>
        <v>86.63999999999999</v>
      </c>
      <c r="H37" s="23"/>
      <c r="I37" s="57">
        <f>107*0.96</f>
        <v>102.72</v>
      </c>
      <c r="J37" s="25">
        <f>29*1.1</f>
        <v>31.900000000000002</v>
      </c>
      <c r="K37" s="58">
        <f>68*0.65</f>
        <v>44.2</v>
      </c>
      <c r="L37" s="25">
        <f>48*0.44</f>
        <v>21.12</v>
      </c>
      <c r="M37" s="58">
        <v>47</v>
      </c>
    </row>
    <row r="38" spans="1:13" s="24" customFormat="1" ht="10.5" customHeight="1">
      <c r="A38" s="71">
        <f>D38</f>
        <v>358.18</v>
      </c>
      <c r="B38" s="19" t="s">
        <v>182</v>
      </c>
      <c r="C38" s="20" t="s">
        <v>14</v>
      </c>
      <c r="D38" s="25">
        <v>358.18</v>
      </c>
      <c r="E38" s="57">
        <f>77*2.07</f>
        <v>159.39</v>
      </c>
      <c r="F38" s="23"/>
      <c r="G38" s="57">
        <f>55*1.14</f>
        <v>62.699999999999996</v>
      </c>
      <c r="H38" s="23"/>
      <c r="I38" s="57">
        <f>69*0.96</f>
        <v>66.24</v>
      </c>
      <c r="J38" s="58">
        <f>18*1.1</f>
        <v>19.8</v>
      </c>
      <c r="K38" s="58">
        <f>77*0.65</f>
        <v>50.050000000000004</v>
      </c>
      <c r="L38" s="25">
        <f>9*0.44</f>
        <v>3.96</v>
      </c>
      <c r="M38" s="25">
        <v>8</v>
      </c>
    </row>
    <row r="39" spans="1:13" s="24" customFormat="1" ht="10.5" customHeight="1">
      <c r="A39" s="71">
        <f>D39</f>
        <v>270.6</v>
      </c>
      <c r="B39" s="19" t="s">
        <v>180</v>
      </c>
      <c r="C39" s="20" t="s">
        <v>21</v>
      </c>
      <c r="D39" s="25">
        <v>270.6</v>
      </c>
      <c r="E39" s="23">
        <f>44*2.07</f>
        <v>91.08</v>
      </c>
      <c r="F39" s="23"/>
      <c r="G39" s="23"/>
      <c r="H39" s="23"/>
      <c r="I39" s="23">
        <f>187*0.96</f>
        <v>179.51999999999998</v>
      </c>
      <c r="J39" s="25"/>
      <c r="K39" s="25"/>
      <c r="L39" s="25"/>
      <c r="M39" s="25"/>
    </row>
    <row r="40" spans="2:13" ht="10.5" customHeight="1">
      <c r="B40" s="66" t="s">
        <v>34</v>
      </c>
      <c r="C40" s="20"/>
      <c r="D40" s="25"/>
      <c r="E40" s="23"/>
      <c r="F40" s="23"/>
      <c r="G40" s="23"/>
      <c r="H40" s="23"/>
      <c r="I40" s="23"/>
      <c r="J40" s="25"/>
      <c r="K40" s="25"/>
      <c r="L40" s="25"/>
      <c r="M40" s="25"/>
    </row>
    <row r="41" spans="1:13" s="5" customFormat="1" ht="10.5" customHeight="1">
      <c r="A41" s="71">
        <f>D41</f>
        <v>266.99</v>
      </c>
      <c r="B41" s="19" t="s">
        <v>152</v>
      </c>
      <c r="C41" s="20" t="s">
        <v>37</v>
      </c>
      <c r="D41" s="25">
        <v>266.99</v>
      </c>
      <c r="E41" s="23">
        <f>13*2.07</f>
        <v>26.909999999999997</v>
      </c>
      <c r="F41" s="23"/>
      <c r="G41" s="23"/>
      <c r="H41" s="23"/>
      <c r="I41" s="23"/>
      <c r="J41" s="25">
        <f>72*1.1</f>
        <v>79.2</v>
      </c>
      <c r="K41" s="25"/>
      <c r="L41" s="25">
        <f>152*0.44</f>
        <v>66.88</v>
      </c>
      <c r="M41" s="23">
        <v>94</v>
      </c>
    </row>
    <row r="42" spans="1:13" s="5" customFormat="1" ht="10.5" customHeight="1">
      <c r="A42" s="71">
        <f>D42</f>
        <v>260.35</v>
      </c>
      <c r="B42" s="19" t="s">
        <v>185</v>
      </c>
      <c r="C42" s="20" t="s">
        <v>37</v>
      </c>
      <c r="D42" s="25">
        <v>260.35</v>
      </c>
      <c r="E42" s="23">
        <f>39*2.07</f>
        <v>80.72999999999999</v>
      </c>
      <c r="F42" s="23"/>
      <c r="G42" s="23">
        <f>8*1.14</f>
        <v>9.12</v>
      </c>
      <c r="H42" s="23"/>
      <c r="I42" s="23"/>
      <c r="J42" s="25">
        <f>155*1.1</f>
        <v>170.5</v>
      </c>
      <c r="K42" s="25"/>
      <c r="L42" s="25"/>
      <c r="M42" s="25"/>
    </row>
    <row r="43" spans="1:13" s="13" customFormat="1" ht="10.5" customHeight="1">
      <c r="A43" s="71">
        <f>D43</f>
        <v>237.16</v>
      </c>
      <c r="B43" s="19" t="s">
        <v>67</v>
      </c>
      <c r="C43" s="20" t="s">
        <v>17</v>
      </c>
      <c r="D43" s="25">
        <v>237.16</v>
      </c>
      <c r="E43" s="25"/>
      <c r="F43" s="23"/>
      <c r="G43" s="23"/>
      <c r="H43" s="23">
        <f>608*0.27</f>
        <v>164.16000000000003</v>
      </c>
      <c r="I43" s="23"/>
      <c r="J43" s="25"/>
      <c r="K43" s="25"/>
      <c r="L43" s="25"/>
      <c r="M43" s="25">
        <v>73</v>
      </c>
    </row>
    <row r="44" spans="1:13" s="5" customFormat="1" ht="10.5" customHeight="1">
      <c r="A44" s="71">
        <f>D44</f>
        <v>205.27</v>
      </c>
      <c r="B44" s="19" t="s">
        <v>73</v>
      </c>
      <c r="C44" s="20" t="s">
        <v>14</v>
      </c>
      <c r="D44" s="25">
        <v>205.27</v>
      </c>
      <c r="E44" s="23"/>
      <c r="F44" s="23"/>
      <c r="G44" s="23">
        <f>61*1.14</f>
        <v>69.53999999999999</v>
      </c>
      <c r="H44" s="23"/>
      <c r="I44" s="23">
        <f>73*0.96</f>
        <v>70.08</v>
      </c>
      <c r="J44" s="25"/>
      <c r="K44" s="25">
        <f>101*0.65</f>
        <v>65.65</v>
      </c>
      <c r="L44" s="25"/>
      <c r="M44" s="25"/>
    </row>
    <row r="45" spans="1:13" s="24" customFormat="1" ht="10.5" customHeight="1">
      <c r="A45" s="71">
        <f>D45</f>
        <v>189.58</v>
      </c>
      <c r="B45" s="19" t="s">
        <v>211</v>
      </c>
      <c r="C45" s="20" t="s">
        <v>14</v>
      </c>
      <c r="D45" s="25">
        <v>189.58</v>
      </c>
      <c r="E45" s="19"/>
      <c r="F45" s="23"/>
      <c r="G45" s="23">
        <f>41*1.14</f>
        <v>46.739999999999995</v>
      </c>
      <c r="H45" s="23"/>
      <c r="I45" s="23"/>
      <c r="J45" s="25">
        <f>62*1.1</f>
        <v>68.2</v>
      </c>
      <c r="K45" s="25">
        <f>8*0.65</f>
        <v>5.2</v>
      </c>
      <c r="L45" s="25">
        <f>26*0.44</f>
        <v>11.44</v>
      </c>
      <c r="M45" s="25">
        <v>58</v>
      </c>
    </row>
    <row r="46" ht="10.5" customHeight="1"/>
    <row r="47" spans="2:13" ht="10.5" customHeight="1">
      <c r="B47" s="67"/>
      <c r="C47" s="2" t="s">
        <v>4</v>
      </c>
      <c r="D47" s="3" t="s">
        <v>1</v>
      </c>
      <c r="E47" s="3" t="s">
        <v>0</v>
      </c>
      <c r="F47" s="3" t="s">
        <v>236</v>
      </c>
      <c r="G47" s="3" t="s">
        <v>201</v>
      </c>
      <c r="H47" s="3" t="s">
        <v>220</v>
      </c>
      <c r="I47" s="3" t="s">
        <v>65</v>
      </c>
      <c r="J47" s="3" t="s">
        <v>44</v>
      </c>
      <c r="K47" s="3" t="s">
        <v>242</v>
      </c>
      <c r="L47" s="3" t="s">
        <v>240</v>
      </c>
      <c r="M47" s="3" t="s">
        <v>253</v>
      </c>
    </row>
    <row r="48" spans="2:13" ht="10.5" customHeight="1">
      <c r="B48" s="68" t="s">
        <v>30</v>
      </c>
      <c r="C48" s="6"/>
      <c r="D48" s="7"/>
      <c r="E48" s="8" t="s">
        <v>193</v>
      </c>
      <c r="F48" s="8" t="s">
        <v>237</v>
      </c>
      <c r="G48" s="8" t="s">
        <v>202</v>
      </c>
      <c r="H48" s="8" t="s">
        <v>221</v>
      </c>
      <c r="I48" s="8" t="s">
        <v>228</v>
      </c>
      <c r="J48" s="8" t="s">
        <v>215</v>
      </c>
      <c r="K48" s="8" t="s">
        <v>243</v>
      </c>
      <c r="L48" s="8" t="s">
        <v>241</v>
      </c>
      <c r="M48" s="8" t="s">
        <v>254</v>
      </c>
    </row>
    <row r="49" spans="2:13" ht="10.5" customHeight="1">
      <c r="B49" s="69"/>
      <c r="C49" s="10"/>
      <c r="D49" s="11"/>
      <c r="E49" s="11">
        <f>(1.8*1.15)</f>
        <v>2.07</v>
      </c>
      <c r="F49" s="11">
        <v>0.16</v>
      </c>
      <c r="G49" s="11">
        <v>1.14</v>
      </c>
      <c r="H49" s="11">
        <v>0.27</v>
      </c>
      <c r="I49" s="11">
        <v>0.96</v>
      </c>
      <c r="J49" s="11">
        <v>1.1</v>
      </c>
      <c r="K49" s="11">
        <v>0.65</v>
      </c>
      <c r="L49" s="11">
        <v>0.44</v>
      </c>
      <c r="M49" s="11">
        <v>1</v>
      </c>
    </row>
    <row r="50" spans="2:13" ht="10.5" customHeight="1">
      <c r="B50" s="41" t="s">
        <v>2</v>
      </c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35"/>
    </row>
    <row r="51" spans="1:13" ht="10.5" customHeight="1">
      <c r="A51" s="71">
        <f>D51</f>
        <v>951.27</v>
      </c>
      <c r="B51" s="19" t="s">
        <v>183</v>
      </c>
      <c r="C51" s="20" t="s">
        <v>7</v>
      </c>
      <c r="D51" s="21">
        <v>951.27</v>
      </c>
      <c r="E51" s="23">
        <f>201*2.07</f>
        <v>416.07</v>
      </c>
      <c r="F51" s="23"/>
      <c r="G51" s="22">
        <f>125*1.14</f>
        <v>142.5</v>
      </c>
      <c r="H51" s="22"/>
      <c r="I51" s="22">
        <f>25*0.96</f>
        <v>24</v>
      </c>
      <c r="J51" s="21">
        <f>167*1.1</f>
        <v>183.70000000000002</v>
      </c>
      <c r="K51" s="21"/>
      <c r="L51" s="21"/>
      <c r="M51" s="21">
        <v>185</v>
      </c>
    </row>
    <row r="52" spans="1:13" ht="10.5" customHeight="1">
      <c r="A52" s="71">
        <f>D52</f>
        <v>691.91</v>
      </c>
      <c r="B52" s="19" t="s">
        <v>87</v>
      </c>
      <c r="C52" s="20" t="s">
        <v>7</v>
      </c>
      <c r="D52" s="21">
        <v>691.91</v>
      </c>
      <c r="E52" s="23">
        <f>129*2.07</f>
        <v>267.03</v>
      </c>
      <c r="F52" s="23"/>
      <c r="G52" s="22">
        <f>157*1.14</f>
        <v>178.98</v>
      </c>
      <c r="H52" s="22"/>
      <c r="I52" s="22"/>
      <c r="J52" s="21">
        <f>99*1.1</f>
        <v>108.9</v>
      </c>
      <c r="K52" s="21"/>
      <c r="L52" s="21"/>
      <c r="M52" s="21">
        <v>137</v>
      </c>
    </row>
    <row r="53" spans="1:13" ht="10.5" customHeight="1">
      <c r="A53" s="71">
        <f>D53</f>
        <v>500.59</v>
      </c>
      <c r="B53" s="19" t="s">
        <v>38</v>
      </c>
      <c r="C53" s="20" t="s">
        <v>37</v>
      </c>
      <c r="D53" s="21">
        <v>500.59</v>
      </c>
      <c r="E53" s="23">
        <f>51*2.07</f>
        <v>105.57</v>
      </c>
      <c r="F53" s="23">
        <f>33*0.16</f>
        <v>5.28</v>
      </c>
      <c r="G53" s="22"/>
      <c r="H53" s="22"/>
      <c r="I53" s="22"/>
      <c r="J53" s="21">
        <f>91*1.1</f>
        <v>100.10000000000001</v>
      </c>
      <c r="K53" s="21"/>
      <c r="L53" s="21">
        <f>331*0.44</f>
        <v>145.64000000000001</v>
      </c>
      <c r="M53" s="21">
        <v>144</v>
      </c>
    </row>
    <row r="54" spans="1:13" ht="10.5" customHeight="1">
      <c r="A54" s="71">
        <f>D54</f>
        <v>364.8</v>
      </c>
      <c r="B54" s="19" t="s">
        <v>23</v>
      </c>
      <c r="C54" s="20" t="s">
        <v>24</v>
      </c>
      <c r="D54" s="21">
        <v>364.8</v>
      </c>
      <c r="E54" s="23"/>
      <c r="F54" s="23"/>
      <c r="G54" s="21"/>
      <c r="H54" s="21"/>
      <c r="I54" s="22">
        <f>380*0.96</f>
        <v>364.8</v>
      </c>
      <c r="J54" s="21"/>
      <c r="K54" s="21"/>
      <c r="L54" s="21"/>
      <c r="M54" s="21"/>
    </row>
    <row r="55" spans="1:13" ht="10.5" customHeight="1">
      <c r="A55" s="71">
        <f>D55</f>
        <v>354</v>
      </c>
      <c r="B55" s="19" t="s">
        <v>186</v>
      </c>
      <c r="C55" s="20" t="s">
        <v>7</v>
      </c>
      <c r="D55" s="21">
        <v>354</v>
      </c>
      <c r="E55" s="23">
        <f>122*2.07</f>
        <v>252.54</v>
      </c>
      <c r="F55" s="23"/>
      <c r="G55" s="22">
        <f>89*1.14</f>
        <v>101.46</v>
      </c>
      <c r="H55" s="22"/>
      <c r="I55" s="22"/>
      <c r="J55" s="21"/>
      <c r="K55" s="21"/>
      <c r="L55" s="21"/>
      <c r="M55" s="21"/>
    </row>
    <row r="56" spans="2:13" ht="10.5" customHeight="1">
      <c r="B56" s="66" t="s">
        <v>33</v>
      </c>
      <c r="C56" s="20"/>
      <c r="D56" s="21"/>
      <c r="E56" s="23"/>
      <c r="F56" s="23"/>
      <c r="G56" s="22"/>
      <c r="H56" s="22"/>
      <c r="I56" s="22"/>
      <c r="J56" s="21"/>
      <c r="K56" s="21"/>
      <c r="L56" s="21"/>
      <c r="M56" s="21"/>
    </row>
    <row r="57" spans="1:13" ht="10.5" customHeight="1">
      <c r="A57" s="71">
        <f>D57</f>
        <v>348.36</v>
      </c>
      <c r="B57" s="19" t="s">
        <v>18</v>
      </c>
      <c r="C57" s="20" t="s">
        <v>14</v>
      </c>
      <c r="D57" s="21">
        <v>348.36</v>
      </c>
      <c r="E57" s="23"/>
      <c r="F57" s="23">
        <f>58*0.16</f>
        <v>9.28</v>
      </c>
      <c r="G57" s="22">
        <f>187*1.14</f>
        <v>213.17999999999998</v>
      </c>
      <c r="H57" s="22"/>
      <c r="I57" s="22"/>
      <c r="J57" s="21">
        <f>59*1.1</f>
        <v>64.9</v>
      </c>
      <c r="K57" s="21"/>
      <c r="L57" s="21"/>
      <c r="M57" s="21">
        <v>61</v>
      </c>
    </row>
    <row r="58" spans="1:13" ht="10.5" customHeight="1">
      <c r="A58" s="71">
        <f>D58</f>
        <v>236.19</v>
      </c>
      <c r="B58" s="19" t="s">
        <v>152</v>
      </c>
      <c r="C58" s="20" t="s">
        <v>37</v>
      </c>
      <c r="D58" s="21">
        <v>236.19</v>
      </c>
      <c r="E58" s="23">
        <f>13*2.07</f>
        <v>26.909999999999997</v>
      </c>
      <c r="F58" s="23"/>
      <c r="G58" s="22"/>
      <c r="H58" s="22"/>
      <c r="I58" s="22"/>
      <c r="J58" s="21">
        <f>52*1.1</f>
        <v>57.2</v>
      </c>
      <c r="K58" s="21"/>
      <c r="L58" s="21">
        <f>132*0.44</f>
        <v>58.08</v>
      </c>
      <c r="M58" s="22">
        <v>94</v>
      </c>
    </row>
    <row r="59" spans="1:13" ht="10.5" customHeight="1">
      <c r="A59" s="71">
        <f>D59</f>
        <v>230.53</v>
      </c>
      <c r="B59" s="19" t="s">
        <v>185</v>
      </c>
      <c r="C59" s="20" t="s">
        <v>37</v>
      </c>
      <c r="D59" s="21">
        <v>230.53</v>
      </c>
      <c r="E59" s="23">
        <f>29*2.07</f>
        <v>60.029999999999994</v>
      </c>
      <c r="F59" s="23"/>
      <c r="G59" s="22"/>
      <c r="H59" s="22"/>
      <c r="I59" s="22"/>
      <c r="J59" s="21">
        <f>155*1.1</f>
        <v>170.5</v>
      </c>
      <c r="K59" s="21"/>
      <c r="L59" s="21"/>
      <c r="M59" s="21"/>
    </row>
    <row r="60" spans="1:13" ht="10.5" customHeight="1">
      <c r="A60" s="71">
        <f>D60</f>
        <v>216.08</v>
      </c>
      <c r="B60" s="19" t="s">
        <v>3</v>
      </c>
      <c r="C60" s="20" t="s">
        <v>7</v>
      </c>
      <c r="D60" s="21">
        <v>216.08</v>
      </c>
      <c r="E60" s="23">
        <f>62*2.07</f>
        <v>128.34</v>
      </c>
      <c r="F60" s="23">
        <f>71*0.16</f>
        <v>11.36</v>
      </c>
      <c r="G60" s="22">
        <f>67*1.14</f>
        <v>76.38</v>
      </c>
      <c r="H60" s="22"/>
      <c r="I60" s="22"/>
      <c r="J60" s="21"/>
      <c r="K60" s="21"/>
      <c r="L60" s="21"/>
      <c r="M60" s="22"/>
    </row>
    <row r="61" spans="1:13" ht="10.5" customHeight="1">
      <c r="A61" s="71">
        <f>D61</f>
        <v>171.33</v>
      </c>
      <c r="B61" s="19" t="s">
        <v>180</v>
      </c>
      <c r="C61" s="20" t="s">
        <v>21</v>
      </c>
      <c r="D61" s="21">
        <v>171.33</v>
      </c>
      <c r="E61" s="23">
        <f>35*2.07</f>
        <v>72.44999999999999</v>
      </c>
      <c r="F61" s="23"/>
      <c r="G61" s="22"/>
      <c r="H61" s="22"/>
      <c r="I61" s="22">
        <f>103*0.96</f>
        <v>98.88</v>
      </c>
      <c r="J61" s="21"/>
      <c r="K61" s="21"/>
      <c r="L61" s="21"/>
      <c r="M61" s="21"/>
    </row>
    <row r="62" spans="2:13" ht="10.5" customHeight="1">
      <c r="B62" s="66" t="s">
        <v>34</v>
      </c>
      <c r="C62" s="20"/>
      <c r="D62" s="21"/>
      <c r="E62" s="23"/>
      <c r="F62" s="23"/>
      <c r="G62" s="22"/>
      <c r="H62" s="22"/>
      <c r="I62" s="22"/>
      <c r="J62" s="21"/>
      <c r="K62" s="21"/>
      <c r="L62" s="21"/>
      <c r="M62" s="21"/>
    </row>
    <row r="63" spans="1:13" ht="10.5" customHeight="1">
      <c r="A63" s="71">
        <f>D63</f>
        <v>161.57</v>
      </c>
      <c r="B63" s="19" t="s">
        <v>67</v>
      </c>
      <c r="C63" s="20" t="s">
        <v>17</v>
      </c>
      <c r="D63" s="21">
        <v>161.57</v>
      </c>
      <c r="E63" s="23"/>
      <c r="F63" s="23"/>
      <c r="G63" s="22"/>
      <c r="H63" s="22">
        <f>391*0.27</f>
        <v>105.57000000000001</v>
      </c>
      <c r="I63" s="22"/>
      <c r="J63" s="21"/>
      <c r="K63" s="21"/>
      <c r="L63" s="21"/>
      <c r="M63" s="22">
        <v>56</v>
      </c>
    </row>
    <row r="64" spans="1:13" ht="10.5" customHeight="1">
      <c r="A64" s="71">
        <f>D64</f>
        <v>126.27</v>
      </c>
      <c r="B64" s="19" t="s">
        <v>79</v>
      </c>
      <c r="C64" s="20" t="s">
        <v>5</v>
      </c>
      <c r="D64" s="21">
        <v>126.27</v>
      </c>
      <c r="E64" s="23">
        <f>61*2.07</f>
        <v>126.27</v>
      </c>
      <c r="F64" s="23"/>
      <c r="G64" s="22"/>
      <c r="H64" s="22"/>
      <c r="I64" s="22"/>
      <c r="J64" s="21"/>
      <c r="K64" s="21"/>
      <c r="L64" s="21"/>
      <c r="M64" s="21"/>
    </row>
    <row r="65" spans="1:13" ht="10.5" customHeight="1">
      <c r="A65" s="71">
        <f>D65</f>
        <v>97.46</v>
      </c>
      <c r="B65" s="19" t="s">
        <v>196</v>
      </c>
      <c r="C65" s="20" t="s">
        <v>37</v>
      </c>
      <c r="D65" s="21">
        <v>97.46</v>
      </c>
      <c r="E65" s="23"/>
      <c r="F65" s="23"/>
      <c r="G65" s="22"/>
      <c r="H65" s="22"/>
      <c r="I65" s="22"/>
      <c r="J65" s="21">
        <f>7*1.1</f>
        <v>7.700000000000001</v>
      </c>
      <c r="K65" s="21"/>
      <c r="L65" s="21">
        <f>104*0.44</f>
        <v>45.76</v>
      </c>
      <c r="M65" s="22">
        <v>44</v>
      </c>
    </row>
    <row r="66" spans="1:13" ht="10.5" customHeight="1">
      <c r="A66" s="71">
        <f>D66</f>
        <v>95.55</v>
      </c>
      <c r="B66" s="19" t="s">
        <v>39</v>
      </c>
      <c r="C66" s="20" t="s">
        <v>9</v>
      </c>
      <c r="D66" s="21">
        <v>95.55</v>
      </c>
      <c r="E66" s="23">
        <f>39*2.07</f>
        <v>80.72999999999999</v>
      </c>
      <c r="F66" s="23"/>
      <c r="G66" s="22">
        <f>13*1.14</f>
        <v>14.819999999999999</v>
      </c>
      <c r="H66" s="22"/>
      <c r="I66" s="22"/>
      <c r="J66" s="21"/>
      <c r="K66" s="21"/>
      <c r="L66" s="21"/>
      <c r="M66" s="22"/>
    </row>
    <row r="67" spans="1:13" ht="10.5" customHeight="1">
      <c r="A67" s="71">
        <f>D67</f>
        <v>91.13</v>
      </c>
      <c r="B67" s="19" t="s">
        <v>153</v>
      </c>
      <c r="C67" s="20" t="s">
        <v>37</v>
      </c>
      <c r="D67" s="21">
        <v>91.13</v>
      </c>
      <c r="E67" s="23">
        <f>11*2.07</f>
        <v>22.77</v>
      </c>
      <c r="F67" s="23"/>
      <c r="G67" s="22"/>
      <c r="H67" s="22"/>
      <c r="I67" s="22"/>
      <c r="J67" s="21">
        <f>28*1.1</f>
        <v>30.800000000000004</v>
      </c>
      <c r="K67" s="21"/>
      <c r="L67" s="21">
        <f>49*0.44</f>
        <v>21.56</v>
      </c>
      <c r="M67" s="22">
        <v>16</v>
      </c>
    </row>
  </sheetData>
  <sheetProtection/>
  <printOptions/>
  <pageMargins left="0" right="0" top="0.7086614173228347" bottom="0.1968503937007874" header="0.31496062992125984" footer="0.5118110236220472"/>
  <pageSetup horizontalDpi="300" verticalDpi="300" orientation="portrait" paperSize="9" r:id="rId1"/>
  <headerFooter alignWithMargins="0">
    <oddHeader>&amp;C&amp;"Arial,Negrito"&amp;12RANKING NACIONAL DA RAÇA PÔNEI BRASILEIRO 2011 (PARCIAL)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22">
      <selection activeCell="A1" sqref="A1:IV65"/>
    </sheetView>
  </sheetViews>
  <sheetFormatPr defaultColWidth="9.140625" defaultRowHeight="8.25" customHeight="1"/>
  <cols>
    <col min="1" max="1" width="23.28125" style="0" customWidth="1"/>
    <col min="2" max="2" width="4.57421875" style="0" customWidth="1"/>
    <col min="3" max="3" width="6.421875" style="0" customWidth="1"/>
    <col min="4" max="17" width="8.57421875" style="0" customWidth="1"/>
    <col min="18" max="18" width="6.140625" style="0" customWidth="1"/>
    <col min="19" max="19" width="6.421875" style="0" customWidth="1"/>
    <col min="20" max="20" width="7.57421875" style="0" customWidth="1"/>
  </cols>
  <sheetData>
    <row r="1" spans="1:18" s="5" customFormat="1" ht="8.25">
      <c r="A1" s="54"/>
      <c r="B1" s="2" t="s">
        <v>4</v>
      </c>
      <c r="C1" s="3" t="s">
        <v>1</v>
      </c>
      <c r="D1" s="3" t="s">
        <v>0</v>
      </c>
      <c r="E1" s="3" t="s">
        <v>50</v>
      </c>
      <c r="F1" s="3" t="s">
        <v>46</v>
      </c>
      <c r="G1" s="3" t="s">
        <v>45</v>
      </c>
      <c r="H1" s="3" t="s">
        <v>111</v>
      </c>
      <c r="I1" s="3" t="s">
        <v>154</v>
      </c>
      <c r="J1" s="3" t="s">
        <v>44</v>
      </c>
      <c r="K1" s="3" t="s">
        <v>171</v>
      </c>
      <c r="L1" s="3" t="s">
        <v>158</v>
      </c>
      <c r="M1" s="3" t="s">
        <v>114</v>
      </c>
      <c r="N1" s="3" t="s">
        <v>178</v>
      </c>
      <c r="O1" s="3" t="s">
        <v>47</v>
      </c>
      <c r="P1" s="3" t="s">
        <v>173</v>
      </c>
      <c r="Q1" s="3" t="s">
        <v>168</v>
      </c>
      <c r="R1" s="3" t="s">
        <v>175</v>
      </c>
    </row>
    <row r="2" spans="1:18" s="5" customFormat="1" ht="8.25">
      <c r="A2" s="56" t="s">
        <v>32</v>
      </c>
      <c r="B2" s="6"/>
      <c r="C2" s="7"/>
      <c r="D2" s="7" t="s">
        <v>140</v>
      </c>
      <c r="E2" s="8" t="s">
        <v>145</v>
      </c>
      <c r="F2" s="8" t="s">
        <v>148</v>
      </c>
      <c r="G2" s="8" t="s">
        <v>149</v>
      </c>
      <c r="H2" s="8" t="s">
        <v>151</v>
      </c>
      <c r="I2" s="8" t="s">
        <v>155</v>
      </c>
      <c r="J2" s="8" t="s">
        <v>156</v>
      </c>
      <c r="K2" s="8" t="s">
        <v>172</v>
      </c>
      <c r="L2" s="8" t="s">
        <v>159</v>
      </c>
      <c r="M2" s="8" t="s">
        <v>162</v>
      </c>
      <c r="N2" s="8" t="s">
        <v>179</v>
      </c>
      <c r="O2" s="8" t="s">
        <v>166</v>
      </c>
      <c r="P2" s="8" t="s">
        <v>174</v>
      </c>
      <c r="Q2" s="8" t="s">
        <v>169</v>
      </c>
      <c r="R2" s="8" t="s">
        <v>176</v>
      </c>
    </row>
    <row r="3" spans="1:18" s="13" customFormat="1" ht="8.25">
      <c r="A3" s="55"/>
      <c r="B3" s="10"/>
      <c r="C3" s="11"/>
      <c r="D3" s="11">
        <f>1.39+0.27</f>
        <v>1.66</v>
      </c>
      <c r="E3" s="11">
        <v>0.63</v>
      </c>
      <c r="F3" s="11">
        <v>0.39</v>
      </c>
      <c r="G3" s="11">
        <v>0.27</v>
      </c>
      <c r="H3" s="11">
        <v>1.13</v>
      </c>
      <c r="I3" s="11">
        <v>0.59</v>
      </c>
      <c r="J3" s="11">
        <v>0.92</v>
      </c>
      <c r="K3" s="11">
        <v>0.37</v>
      </c>
      <c r="L3" s="11">
        <v>0.93</v>
      </c>
      <c r="M3" s="11">
        <v>0.64</v>
      </c>
      <c r="N3" s="11">
        <v>0.78</v>
      </c>
      <c r="O3" s="11">
        <v>0.36</v>
      </c>
      <c r="P3" s="11">
        <v>0.81</v>
      </c>
      <c r="Q3" s="11" t="s">
        <v>170</v>
      </c>
      <c r="R3" s="11">
        <v>0.84</v>
      </c>
    </row>
    <row r="4" spans="1:18" s="5" customFormat="1" ht="8.25">
      <c r="A4" s="4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5"/>
    </row>
    <row r="5" spans="1:18" s="24" customFormat="1" ht="8.25">
      <c r="A5" s="19" t="s">
        <v>10</v>
      </c>
      <c r="B5" s="20" t="s">
        <v>7</v>
      </c>
      <c r="C5" s="21">
        <v>1228.47</v>
      </c>
      <c r="D5" s="58">
        <f>313.74+31.37</f>
        <v>345.11</v>
      </c>
      <c r="E5" s="25">
        <v>20.79</v>
      </c>
      <c r="F5" s="25">
        <f>104.91</f>
        <v>104.91</v>
      </c>
      <c r="G5" s="25"/>
      <c r="H5" s="58">
        <f>232.78+23.27</f>
        <v>256.05</v>
      </c>
      <c r="I5" s="25">
        <v>28.91</v>
      </c>
      <c r="J5" s="58">
        <v>263.12</v>
      </c>
      <c r="K5" s="25"/>
      <c r="L5" s="58">
        <f>229.71+22.97</f>
        <v>252.68</v>
      </c>
      <c r="M5" s="25">
        <v>19.84</v>
      </c>
      <c r="N5" s="25"/>
      <c r="O5" s="58"/>
      <c r="P5" s="58">
        <v>135.43</v>
      </c>
      <c r="Q5" s="25">
        <v>4.86</v>
      </c>
      <c r="R5" s="25">
        <v>6.72</v>
      </c>
    </row>
    <row r="6" spans="1:18" s="24" customFormat="1" ht="8.25" customHeight="1">
      <c r="A6" s="19" t="s">
        <v>58</v>
      </c>
      <c r="B6" s="20" t="s">
        <v>21</v>
      </c>
      <c r="C6" s="21">
        <v>956.47</v>
      </c>
      <c r="D6" s="58">
        <f>111.22+11.12</f>
        <v>122.34</v>
      </c>
      <c r="E6" s="25">
        <v>175.14</v>
      </c>
      <c r="F6" s="25"/>
      <c r="G6" s="25">
        <v>10.26</v>
      </c>
      <c r="H6" s="25"/>
      <c r="I6" s="25">
        <f>182.31</f>
        <v>182.31</v>
      </c>
      <c r="J6" s="25"/>
      <c r="K6" s="25"/>
      <c r="L6" s="25"/>
      <c r="M6" s="25">
        <v>227.2</v>
      </c>
      <c r="N6" s="25"/>
      <c r="O6" s="25"/>
      <c r="P6" s="25">
        <v>41.31</v>
      </c>
      <c r="Q6" s="25">
        <v>156.06</v>
      </c>
      <c r="R6" s="25">
        <v>249.48</v>
      </c>
    </row>
    <row r="7" spans="1:18" s="24" customFormat="1" ht="8.25">
      <c r="A7" s="19" t="s">
        <v>3</v>
      </c>
      <c r="B7" s="20" t="s">
        <v>7</v>
      </c>
      <c r="C7" s="21">
        <v>920.08</v>
      </c>
      <c r="D7" s="57">
        <f>317.06+31.7</f>
        <v>348.76</v>
      </c>
      <c r="E7" s="23"/>
      <c r="F7" s="23">
        <f>127.92</f>
        <v>127.92</v>
      </c>
      <c r="G7" s="23"/>
      <c r="H7" s="57">
        <f>227.13+22.71</f>
        <v>249.84</v>
      </c>
      <c r="I7" s="23">
        <v>4.72</v>
      </c>
      <c r="J7" s="23">
        <v>68.08</v>
      </c>
      <c r="K7" s="23">
        <v>34.04</v>
      </c>
      <c r="L7" s="57">
        <f>95.79+9.57</f>
        <v>105.36000000000001</v>
      </c>
      <c r="M7" s="23">
        <v>48.64</v>
      </c>
      <c r="N7" s="23"/>
      <c r="O7" s="57"/>
      <c r="P7" s="57">
        <v>88.2</v>
      </c>
      <c r="Q7" s="23">
        <v>9.72</v>
      </c>
      <c r="R7" s="23">
        <v>15.12</v>
      </c>
    </row>
    <row r="8" spans="1:18" s="24" customFormat="1" ht="8.25">
      <c r="A8" s="19" t="s">
        <v>23</v>
      </c>
      <c r="B8" s="20" t="s">
        <v>24</v>
      </c>
      <c r="C8" s="21">
        <v>895.88</v>
      </c>
      <c r="D8" s="57">
        <f>121.18+12.11</f>
        <v>133.29000000000002</v>
      </c>
      <c r="E8" s="57">
        <f>103.32+10.33</f>
        <v>113.64999999999999</v>
      </c>
      <c r="F8" s="23"/>
      <c r="G8" s="23"/>
      <c r="H8" s="23"/>
      <c r="I8" s="57">
        <f>107.38+10.73</f>
        <v>118.11</v>
      </c>
      <c r="J8" s="23"/>
      <c r="K8" s="23"/>
      <c r="L8" s="23"/>
      <c r="M8" s="57">
        <f>167.04+16.7</f>
        <v>183.73999999999998</v>
      </c>
      <c r="N8" s="57"/>
      <c r="O8" s="23"/>
      <c r="P8" s="23"/>
      <c r="Q8" s="57">
        <f>174.42+17.44</f>
        <v>191.85999999999999</v>
      </c>
      <c r="R8" s="23">
        <v>268.88</v>
      </c>
    </row>
    <row r="9" spans="1:18" s="24" customFormat="1" ht="8.25">
      <c r="A9" s="19" t="s">
        <v>38</v>
      </c>
      <c r="B9" s="20" t="s">
        <v>37</v>
      </c>
      <c r="C9" s="21">
        <f>SUM(D9:R9)</f>
        <v>618.61</v>
      </c>
      <c r="D9" s="23"/>
      <c r="E9" s="23"/>
      <c r="F9" s="23"/>
      <c r="G9" s="23"/>
      <c r="H9" s="23">
        <v>265.55</v>
      </c>
      <c r="I9" s="23"/>
      <c r="J9" s="57">
        <v>196.32</v>
      </c>
      <c r="K9" s="23"/>
      <c r="L9" s="57">
        <f>112.53+11.25</f>
        <v>123.78</v>
      </c>
      <c r="M9" s="23"/>
      <c r="N9" s="23"/>
      <c r="O9" s="57"/>
      <c r="P9" s="57">
        <v>32.96</v>
      </c>
      <c r="Q9" s="23"/>
      <c r="R9" s="23"/>
    </row>
    <row r="10" spans="1:18" s="24" customFormat="1" ht="8.25">
      <c r="A10" s="41" t="s">
        <v>33</v>
      </c>
      <c r="B10" s="15"/>
      <c r="C10" s="37"/>
      <c r="D10" s="47"/>
      <c r="E10" s="47"/>
      <c r="F10" s="47"/>
      <c r="G10" s="47"/>
      <c r="H10" s="47"/>
      <c r="I10" s="47"/>
      <c r="J10" s="47"/>
      <c r="K10" s="47"/>
      <c r="L10" s="65"/>
      <c r="M10" s="47"/>
      <c r="N10" s="47"/>
      <c r="O10" s="65"/>
      <c r="P10" s="65"/>
      <c r="Q10" s="47"/>
      <c r="R10" s="50"/>
    </row>
    <row r="11" spans="1:18" s="24" customFormat="1" ht="8.25">
      <c r="A11" s="19" t="s">
        <v>13</v>
      </c>
      <c r="B11" s="20" t="s">
        <v>9</v>
      </c>
      <c r="C11" s="21">
        <v>536.12</v>
      </c>
      <c r="D11" s="23">
        <v>217.46</v>
      </c>
      <c r="E11" s="23">
        <v>57.33</v>
      </c>
      <c r="F11" s="23"/>
      <c r="G11" s="23">
        <v>33.21</v>
      </c>
      <c r="H11" s="23"/>
      <c r="I11" s="23"/>
      <c r="J11" s="23"/>
      <c r="K11" s="23">
        <v>72.15</v>
      </c>
      <c r="L11" s="23">
        <f>128.34</f>
        <v>128.34</v>
      </c>
      <c r="M11" s="23"/>
      <c r="N11" s="23"/>
      <c r="O11" s="23">
        <v>60.84</v>
      </c>
      <c r="P11" s="23">
        <v>32.4</v>
      </c>
      <c r="Q11" s="23"/>
      <c r="R11" s="23"/>
    </row>
    <row r="12" spans="1:18" s="24" customFormat="1" ht="8.25">
      <c r="A12" s="19" t="s">
        <v>18</v>
      </c>
      <c r="B12" s="20" t="s">
        <v>14</v>
      </c>
      <c r="C12" s="21">
        <f>SUM(D12:R12)</f>
        <v>532.3199999999999</v>
      </c>
      <c r="D12" s="25"/>
      <c r="E12" s="25"/>
      <c r="F12" s="25"/>
      <c r="G12" s="25"/>
      <c r="H12" s="25"/>
      <c r="I12" s="25"/>
      <c r="J12" s="58">
        <v>257.04</v>
      </c>
      <c r="K12" s="25"/>
      <c r="L12" s="25">
        <f>275.28</f>
        <v>275.28</v>
      </c>
      <c r="M12" s="25"/>
      <c r="N12" s="25"/>
      <c r="O12" s="25"/>
      <c r="P12" s="25"/>
      <c r="Q12" s="25"/>
      <c r="R12" s="25"/>
    </row>
    <row r="13" spans="1:18" s="24" customFormat="1" ht="8.25">
      <c r="A13" s="19" t="s">
        <v>71</v>
      </c>
      <c r="B13" s="20" t="s">
        <v>7</v>
      </c>
      <c r="C13" s="21">
        <f>SUM(D13:R13)</f>
        <v>411.7</v>
      </c>
      <c r="D13" s="57">
        <f>151.06+15.1</f>
        <v>166.16</v>
      </c>
      <c r="E13" s="23"/>
      <c r="F13" s="23">
        <v>35.1</v>
      </c>
      <c r="G13" s="23"/>
      <c r="H13" s="57">
        <f>98.31+9.83</f>
        <v>108.14</v>
      </c>
      <c r="I13" s="23"/>
      <c r="J13" s="23"/>
      <c r="K13" s="23"/>
      <c r="L13" s="57">
        <f>93+9.3</f>
        <v>102.3</v>
      </c>
      <c r="M13" s="23"/>
      <c r="N13" s="23"/>
      <c r="O13" s="57"/>
      <c r="P13" s="57"/>
      <c r="Q13" s="23"/>
      <c r="R13" s="23"/>
    </row>
    <row r="14" spans="1:18" s="24" customFormat="1" ht="8.25">
      <c r="A14" s="19" t="s">
        <v>42</v>
      </c>
      <c r="B14" s="20" t="s">
        <v>17</v>
      </c>
      <c r="C14" s="21">
        <v>390.99</v>
      </c>
      <c r="D14" s="23"/>
      <c r="E14" s="23"/>
      <c r="F14" s="23"/>
      <c r="G14" s="23"/>
      <c r="H14" s="23">
        <f>32.77</f>
        <v>32.77</v>
      </c>
      <c r="I14" s="23"/>
      <c r="J14" s="23"/>
      <c r="K14" s="23"/>
      <c r="L14" s="23"/>
      <c r="M14" s="23">
        <v>24.32</v>
      </c>
      <c r="N14" s="57">
        <f>181.74+18.17</f>
        <v>199.91000000000003</v>
      </c>
      <c r="O14" s="23">
        <v>3.24</v>
      </c>
      <c r="P14" s="23"/>
      <c r="Q14" s="23">
        <v>19.44</v>
      </c>
      <c r="R14" s="23">
        <v>132.72</v>
      </c>
    </row>
    <row r="15" spans="1:18" s="24" customFormat="1" ht="8.25">
      <c r="A15" s="19" t="s">
        <v>25</v>
      </c>
      <c r="B15" s="20" t="s">
        <v>26</v>
      </c>
      <c r="C15" s="21">
        <v>358.08</v>
      </c>
      <c r="D15" s="57">
        <f>131.14+13.11</f>
        <v>144.25</v>
      </c>
      <c r="E15" s="57">
        <f>45.36+4.53</f>
        <v>49.89</v>
      </c>
      <c r="F15" s="23"/>
      <c r="G15" s="23"/>
      <c r="H15" s="23"/>
      <c r="I15" s="57">
        <f>78.47+7.84</f>
        <v>86.31</v>
      </c>
      <c r="J15" s="23"/>
      <c r="K15" s="23"/>
      <c r="L15" s="23">
        <f>30.69</f>
        <v>30.69</v>
      </c>
      <c r="M15" s="57">
        <f>30.08+3</f>
        <v>33.08</v>
      </c>
      <c r="N15" s="57"/>
      <c r="O15" s="23"/>
      <c r="P15" s="23">
        <v>12.15</v>
      </c>
      <c r="Q15" s="57">
        <f>40.5+4.05</f>
        <v>44.55</v>
      </c>
      <c r="R15" s="23">
        <v>2.77</v>
      </c>
    </row>
    <row r="16" spans="1:18" s="24" customFormat="1" ht="8.25">
      <c r="A16" s="41" t="s">
        <v>34</v>
      </c>
      <c r="B16" s="15"/>
      <c r="C16" s="37"/>
      <c r="D16" s="6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65"/>
      <c r="P16" s="65"/>
      <c r="Q16" s="47"/>
      <c r="R16" s="50"/>
    </row>
    <row r="17" spans="1:18" s="24" customFormat="1" ht="8.25">
      <c r="A17" s="19" t="s">
        <v>39</v>
      </c>
      <c r="B17" s="20" t="s">
        <v>9</v>
      </c>
      <c r="C17" s="21">
        <v>292.95</v>
      </c>
      <c r="D17" s="57">
        <f>73.04+7.3</f>
        <v>80.34</v>
      </c>
      <c r="E17" s="23">
        <v>70.56</v>
      </c>
      <c r="F17" s="23"/>
      <c r="G17" s="23">
        <v>41.85</v>
      </c>
      <c r="H17" s="23"/>
      <c r="I17" s="23">
        <v>15.34</v>
      </c>
      <c r="J17" s="23"/>
      <c r="K17" s="23">
        <v>13.32</v>
      </c>
      <c r="L17" s="23"/>
      <c r="M17" s="23">
        <v>33.28</v>
      </c>
      <c r="N17" s="23"/>
      <c r="O17" s="57">
        <f>60.84+6.08</f>
        <v>66.92</v>
      </c>
      <c r="P17" s="57"/>
      <c r="Q17" s="23"/>
      <c r="R17" s="23"/>
    </row>
    <row r="18" spans="1:18" s="24" customFormat="1" ht="8.25">
      <c r="A18" s="19" t="s">
        <v>139</v>
      </c>
      <c r="B18" s="20" t="s">
        <v>5</v>
      </c>
      <c r="C18" s="21">
        <f>SUM(D18:R18)</f>
        <v>284.7</v>
      </c>
      <c r="D18" s="58">
        <f>169.32+16.93</f>
        <v>186.25</v>
      </c>
      <c r="E18" s="25"/>
      <c r="F18" s="25"/>
      <c r="G18" s="25"/>
      <c r="H18" s="25"/>
      <c r="I18" s="25"/>
      <c r="J18" s="25"/>
      <c r="K18" s="25">
        <v>59.57</v>
      </c>
      <c r="L18" s="25"/>
      <c r="M18" s="25"/>
      <c r="N18" s="25"/>
      <c r="O18" s="25"/>
      <c r="P18" s="25">
        <v>38.88</v>
      </c>
      <c r="Q18" s="25"/>
      <c r="R18" s="25"/>
    </row>
    <row r="19" spans="1:18" s="24" customFormat="1" ht="8.25">
      <c r="A19" s="19" t="s">
        <v>164</v>
      </c>
      <c r="B19" s="20" t="s">
        <v>21</v>
      </c>
      <c r="C19" s="21">
        <v>283.53</v>
      </c>
      <c r="D19" s="23">
        <v>26.56</v>
      </c>
      <c r="E19" s="23">
        <v>8.19</v>
      </c>
      <c r="F19" s="23"/>
      <c r="G19" s="23"/>
      <c r="H19" s="23"/>
      <c r="I19" s="57">
        <f>68.44+6.84</f>
        <v>75.28</v>
      </c>
      <c r="J19" s="23"/>
      <c r="K19" s="23"/>
      <c r="L19" s="23"/>
      <c r="M19" s="57">
        <f>51.84+5.18</f>
        <v>57.02</v>
      </c>
      <c r="N19" s="57"/>
      <c r="O19" s="23"/>
      <c r="P19" s="23">
        <v>2.43</v>
      </c>
      <c r="Q19" s="57">
        <f>59.4+0.59</f>
        <v>59.99</v>
      </c>
      <c r="R19" s="23">
        <v>5.88</v>
      </c>
    </row>
    <row r="20" spans="1:18" s="24" customFormat="1" ht="8.25">
      <c r="A20" s="19" t="s">
        <v>59</v>
      </c>
      <c r="B20" s="20" t="s">
        <v>9</v>
      </c>
      <c r="C20" s="21">
        <f>SUM(D20:R20)</f>
        <v>276.98</v>
      </c>
      <c r="D20" s="57">
        <f>102.92+10.29</f>
        <v>113.21000000000001</v>
      </c>
      <c r="E20" s="23">
        <v>61.11</v>
      </c>
      <c r="F20" s="23"/>
      <c r="G20" s="23">
        <v>33.75</v>
      </c>
      <c r="H20" s="23"/>
      <c r="I20" s="23"/>
      <c r="J20" s="23"/>
      <c r="K20" s="23">
        <v>5.55</v>
      </c>
      <c r="L20" s="23"/>
      <c r="M20" s="23"/>
      <c r="N20" s="23"/>
      <c r="O20" s="57">
        <f>57.6+5.76</f>
        <v>63.36</v>
      </c>
      <c r="P20" s="57"/>
      <c r="Q20" s="23"/>
      <c r="R20" s="23"/>
    </row>
    <row r="21" spans="1:18" s="24" customFormat="1" ht="8.25">
      <c r="A21" s="19" t="s">
        <v>19</v>
      </c>
      <c r="B21" s="20" t="s">
        <v>14</v>
      </c>
      <c r="C21" s="21">
        <f>SUM(D21:R21)</f>
        <v>261.77</v>
      </c>
      <c r="D21" s="23"/>
      <c r="E21" s="23"/>
      <c r="F21" s="23"/>
      <c r="G21" s="23"/>
      <c r="H21" s="23"/>
      <c r="I21" s="23"/>
      <c r="J21" s="23">
        <v>147.2</v>
      </c>
      <c r="K21" s="23"/>
      <c r="L21" s="57">
        <f>104.16+10.41</f>
        <v>114.57</v>
      </c>
      <c r="M21" s="23"/>
      <c r="N21" s="23"/>
      <c r="O21" s="57"/>
      <c r="P21" s="57"/>
      <c r="Q21" s="23"/>
      <c r="R21" s="23"/>
    </row>
    <row r="23" spans="1:18" s="5" customFormat="1" ht="8.25" customHeight="1">
      <c r="A23" s="54"/>
      <c r="B23" s="2" t="s">
        <v>4</v>
      </c>
      <c r="C23" s="3" t="s">
        <v>1</v>
      </c>
      <c r="D23" s="3" t="s">
        <v>0</v>
      </c>
      <c r="E23" s="3" t="s">
        <v>50</v>
      </c>
      <c r="F23" s="3" t="s">
        <v>46</v>
      </c>
      <c r="G23" s="3" t="s">
        <v>45</v>
      </c>
      <c r="H23" s="3" t="s">
        <v>111</v>
      </c>
      <c r="I23" s="3" t="s">
        <v>154</v>
      </c>
      <c r="J23" s="3" t="s">
        <v>44</v>
      </c>
      <c r="K23" s="3" t="s">
        <v>171</v>
      </c>
      <c r="L23" s="3" t="s">
        <v>158</v>
      </c>
      <c r="M23" s="3" t="s">
        <v>161</v>
      </c>
      <c r="N23" s="3" t="s">
        <v>178</v>
      </c>
      <c r="O23" s="3" t="s">
        <v>47</v>
      </c>
      <c r="P23" s="3" t="s">
        <v>173</v>
      </c>
      <c r="Q23" s="3" t="s">
        <v>168</v>
      </c>
      <c r="R23" s="3" t="s">
        <v>175</v>
      </c>
    </row>
    <row r="24" spans="1:18" s="5" customFormat="1" ht="8.25" customHeight="1">
      <c r="A24" s="56" t="s">
        <v>31</v>
      </c>
      <c r="B24" s="6"/>
      <c r="C24" s="7"/>
      <c r="D24" s="7" t="s">
        <v>140</v>
      </c>
      <c r="E24" s="8" t="s">
        <v>145</v>
      </c>
      <c r="F24" s="8" t="s">
        <v>148</v>
      </c>
      <c r="G24" s="8" t="s">
        <v>149</v>
      </c>
      <c r="H24" s="8" t="s">
        <v>151</v>
      </c>
      <c r="I24" s="8" t="s">
        <v>155</v>
      </c>
      <c r="J24" s="8" t="s">
        <v>156</v>
      </c>
      <c r="K24" s="8" t="s">
        <v>172</v>
      </c>
      <c r="L24" s="8" t="s">
        <v>159</v>
      </c>
      <c r="M24" s="8" t="s">
        <v>162</v>
      </c>
      <c r="N24" s="8" t="s">
        <v>179</v>
      </c>
      <c r="O24" s="8" t="s">
        <v>166</v>
      </c>
      <c r="P24" s="8" t="s">
        <v>174</v>
      </c>
      <c r="Q24" s="8" t="s">
        <v>169</v>
      </c>
      <c r="R24" s="8" t="s">
        <v>176</v>
      </c>
    </row>
    <row r="25" spans="1:18" s="13" customFormat="1" ht="8.25" customHeight="1">
      <c r="A25" s="55"/>
      <c r="B25" s="10"/>
      <c r="C25" s="11"/>
      <c r="D25" s="11">
        <f>1.39+0.27</f>
        <v>1.66</v>
      </c>
      <c r="E25" s="11" t="s">
        <v>146</v>
      </c>
      <c r="F25" s="11" t="s">
        <v>147</v>
      </c>
      <c r="G25" s="11" t="s">
        <v>104</v>
      </c>
      <c r="H25" s="11" t="s">
        <v>150</v>
      </c>
      <c r="I25" s="11" t="s">
        <v>123</v>
      </c>
      <c r="J25" s="11" t="s">
        <v>157</v>
      </c>
      <c r="K25" s="11">
        <v>0.37</v>
      </c>
      <c r="L25" s="11" t="s">
        <v>160</v>
      </c>
      <c r="M25" s="11" t="s">
        <v>163</v>
      </c>
      <c r="N25" s="11">
        <v>0.78</v>
      </c>
      <c r="O25" s="11" t="s">
        <v>167</v>
      </c>
      <c r="P25" s="11">
        <v>0.81</v>
      </c>
      <c r="Q25" s="11" t="s">
        <v>170</v>
      </c>
      <c r="R25" s="11">
        <v>0.84</v>
      </c>
    </row>
    <row r="26" spans="1:18" s="5" customFormat="1" ht="8.25" customHeight="1">
      <c r="A26" s="41" t="s">
        <v>2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5"/>
    </row>
    <row r="27" spans="1:18" s="24" customFormat="1" ht="8.25" customHeight="1">
      <c r="A27" s="19" t="s">
        <v>18</v>
      </c>
      <c r="B27" s="20" t="s">
        <v>14</v>
      </c>
      <c r="C27" s="21">
        <v>1270.51</v>
      </c>
      <c r="D27" s="22">
        <v>358.56</v>
      </c>
      <c r="E27" s="23">
        <v>48.51</v>
      </c>
      <c r="F27" s="23">
        <v>16.38</v>
      </c>
      <c r="G27" s="23">
        <v>17.28</v>
      </c>
      <c r="H27" s="23">
        <v>168.37</v>
      </c>
      <c r="I27" s="22">
        <v>44.25</v>
      </c>
      <c r="J27" s="22">
        <v>316.48</v>
      </c>
      <c r="K27" s="22">
        <v>29.23</v>
      </c>
      <c r="L27" s="22">
        <f>370.14</f>
        <v>370.14</v>
      </c>
      <c r="M27" s="22">
        <v>56.96</v>
      </c>
      <c r="N27" s="22"/>
      <c r="O27" s="22">
        <v>11.88</v>
      </c>
      <c r="P27" s="22">
        <v>47.79</v>
      </c>
      <c r="Q27" s="22">
        <v>28.08</v>
      </c>
      <c r="R27" s="22">
        <v>37.8</v>
      </c>
    </row>
    <row r="28" spans="1:18" s="24" customFormat="1" ht="8.25" customHeight="1">
      <c r="A28" s="19" t="s">
        <v>143</v>
      </c>
      <c r="B28" s="20" t="s">
        <v>14</v>
      </c>
      <c r="C28" s="21">
        <v>623.34</v>
      </c>
      <c r="D28" s="22">
        <v>139.44</v>
      </c>
      <c r="E28" s="23">
        <v>35.28</v>
      </c>
      <c r="F28" s="23">
        <f>56.16</f>
        <v>56.16</v>
      </c>
      <c r="G28" s="23"/>
      <c r="H28" s="23">
        <v>138.99</v>
      </c>
      <c r="I28" s="22">
        <v>31.86</v>
      </c>
      <c r="J28" s="22">
        <v>129.72</v>
      </c>
      <c r="K28" s="22">
        <v>25.16</v>
      </c>
      <c r="L28" s="22">
        <v>159.03</v>
      </c>
      <c r="M28" s="22">
        <v>37.76</v>
      </c>
      <c r="N28" s="22"/>
      <c r="O28" s="22"/>
      <c r="P28" s="22">
        <v>51.84</v>
      </c>
      <c r="Q28" s="22">
        <v>28.62</v>
      </c>
      <c r="R28" s="22">
        <v>47.04</v>
      </c>
    </row>
    <row r="29" spans="1:18" s="24" customFormat="1" ht="8.25" customHeight="1">
      <c r="A29" s="19" t="s">
        <v>10</v>
      </c>
      <c r="B29" s="20" t="s">
        <v>7</v>
      </c>
      <c r="C29" s="21">
        <v>618.41</v>
      </c>
      <c r="D29" s="22">
        <v>146.08</v>
      </c>
      <c r="E29" s="23">
        <v>25.2</v>
      </c>
      <c r="F29" s="23">
        <f>58.89</f>
        <v>58.89</v>
      </c>
      <c r="G29" s="23"/>
      <c r="H29" s="23">
        <v>115.26</v>
      </c>
      <c r="I29" s="22">
        <v>50.74</v>
      </c>
      <c r="J29" s="22">
        <v>115</v>
      </c>
      <c r="K29" s="22"/>
      <c r="L29" s="22">
        <v>124.62</v>
      </c>
      <c r="M29" s="22">
        <v>32</v>
      </c>
      <c r="N29" s="22"/>
      <c r="O29" s="22"/>
      <c r="P29" s="22">
        <v>117.45</v>
      </c>
      <c r="Q29" s="22">
        <v>42.66</v>
      </c>
      <c r="R29" s="22">
        <v>68.88</v>
      </c>
    </row>
    <row r="30" spans="1:18" s="24" customFormat="1" ht="8.25" customHeight="1">
      <c r="A30" s="19" t="s">
        <v>23</v>
      </c>
      <c r="B30" s="20" t="s">
        <v>24</v>
      </c>
      <c r="C30" s="21">
        <v>509.77</v>
      </c>
      <c r="D30" s="22">
        <v>23.24</v>
      </c>
      <c r="E30" s="23">
        <v>16.38</v>
      </c>
      <c r="F30" s="23"/>
      <c r="G30" s="23"/>
      <c r="H30" s="23"/>
      <c r="I30" s="22">
        <v>39.53</v>
      </c>
      <c r="J30" s="22"/>
      <c r="K30" s="22"/>
      <c r="L30" s="22"/>
      <c r="M30" s="22">
        <v>92.16</v>
      </c>
      <c r="N30" s="22"/>
      <c r="O30" s="22"/>
      <c r="P30" s="22"/>
      <c r="Q30" s="22">
        <v>141.48</v>
      </c>
      <c r="R30" s="22">
        <v>213.36</v>
      </c>
    </row>
    <row r="31" spans="1:18" s="24" customFormat="1" ht="8.25" customHeight="1">
      <c r="A31" s="19" t="s">
        <v>13</v>
      </c>
      <c r="B31" s="20" t="s">
        <v>9</v>
      </c>
      <c r="C31" s="21">
        <v>447.03</v>
      </c>
      <c r="D31" s="22">
        <v>141.1</v>
      </c>
      <c r="E31" s="23">
        <v>105.84</v>
      </c>
      <c r="F31" s="23"/>
      <c r="G31" s="23">
        <v>13.23</v>
      </c>
      <c r="H31" s="23"/>
      <c r="I31" s="22">
        <v>58.41</v>
      </c>
      <c r="J31" s="22"/>
      <c r="K31" s="22">
        <v>21.46</v>
      </c>
      <c r="L31" s="22">
        <v>20.46</v>
      </c>
      <c r="M31" s="22">
        <v>62.72</v>
      </c>
      <c r="N31" s="22"/>
      <c r="O31" s="22">
        <v>29.16</v>
      </c>
      <c r="P31" s="22">
        <v>10.53</v>
      </c>
      <c r="Q31" s="22">
        <v>38.34</v>
      </c>
      <c r="R31" s="22">
        <v>78.96</v>
      </c>
    </row>
    <row r="32" spans="1:18" s="24" customFormat="1" ht="8.25" customHeight="1">
      <c r="A32" s="41" t="s">
        <v>33</v>
      </c>
      <c r="B32" s="15"/>
      <c r="C32" s="37"/>
      <c r="D32" s="46"/>
      <c r="E32" s="47"/>
      <c r="F32" s="47"/>
      <c r="G32" s="47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38"/>
    </row>
    <row r="33" spans="1:18" s="24" customFormat="1" ht="8.25" customHeight="1">
      <c r="A33" s="19" t="s">
        <v>42</v>
      </c>
      <c r="B33" s="20" t="s">
        <v>17</v>
      </c>
      <c r="C33" s="21">
        <v>435.98</v>
      </c>
      <c r="D33" s="22">
        <v>23.24</v>
      </c>
      <c r="E33" s="23">
        <v>2.52</v>
      </c>
      <c r="F33" s="23"/>
      <c r="G33" s="23"/>
      <c r="H33" s="23">
        <v>32.77</v>
      </c>
      <c r="I33" s="22">
        <v>54.28</v>
      </c>
      <c r="J33" s="22"/>
      <c r="K33" s="22">
        <v>11.84</v>
      </c>
      <c r="L33" s="22"/>
      <c r="M33" s="22">
        <v>33.92</v>
      </c>
      <c r="N33" s="22">
        <v>159.9</v>
      </c>
      <c r="O33" s="22">
        <v>3.24</v>
      </c>
      <c r="P33" s="22">
        <v>2.43</v>
      </c>
      <c r="Q33" s="22">
        <v>25.38</v>
      </c>
      <c r="R33" s="22">
        <v>164.64</v>
      </c>
    </row>
    <row r="34" spans="1:18" s="24" customFormat="1" ht="8.25" customHeight="1">
      <c r="A34" s="19" t="s">
        <v>3</v>
      </c>
      <c r="B34" s="20" t="s">
        <v>7</v>
      </c>
      <c r="C34" s="21">
        <v>428.02</v>
      </c>
      <c r="D34" s="22">
        <v>189.24</v>
      </c>
      <c r="E34" s="23">
        <v>11.97</v>
      </c>
      <c r="F34" s="23">
        <f>33.54</f>
        <v>33.54</v>
      </c>
      <c r="G34" s="23">
        <v>8.91</v>
      </c>
      <c r="H34" s="23">
        <v>111.87</v>
      </c>
      <c r="I34" s="22">
        <v>4.72</v>
      </c>
      <c r="J34" s="22">
        <v>47.84</v>
      </c>
      <c r="K34" s="22">
        <v>38.11</v>
      </c>
      <c r="L34" s="22">
        <v>16.74</v>
      </c>
      <c r="M34" s="22">
        <v>40.96</v>
      </c>
      <c r="N34" s="22"/>
      <c r="O34" s="22">
        <v>27.36</v>
      </c>
      <c r="P34" s="22">
        <v>21.06</v>
      </c>
      <c r="Q34" s="22">
        <v>10.8</v>
      </c>
      <c r="R34" s="22">
        <v>18.48</v>
      </c>
    </row>
    <row r="35" spans="1:18" s="24" customFormat="1" ht="8.25" customHeight="1">
      <c r="A35" s="19" t="s">
        <v>38</v>
      </c>
      <c r="B35" s="20" t="s">
        <v>37</v>
      </c>
      <c r="C35" s="21">
        <f>SUM(D35:R35)</f>
        <v>373.7900000000001</v>
      </c>
      <c r="D35" s="22"/>
      <c r="E35" s="23"/>
      <c r="F35" s="23"/>
      <c r="G35" s="23"/>
      <c r="H35" s="23">
        <v>187.58</v>
      </c>
      <c r="I35" s="22"/>
      <c r="J35" s="22">
        <v>107.64</v>
      </c>
      <c r="K35" s="22"/>
      <c r="L35" s="22">
        <v>50.22</v>
      </c>
      <c r="M35" s="22"/>
      <c r="N35" s="22"/>
      <c r="O35" s="22"/>
      <c r="P35" s="22">
        <v>28.35</v>
      </c>
      <c r="Q35" s="22"/>
      <c r="R35" s="22"/>
    </row>
    <row r="36" spans="1:18" s="24" customFormat="1" ht="8.25" customHeight="1">
      <c r="A36" s="19" t="s">
        <v>25</v>
      </c>
      <c r="B36" s="20" t="s">
        <v>26</v>
      </c>
      <c r="C36" s="21">
        <v>204.72</v>
      </c>
      <c r="D36" s="22">
        <v>91.3</v>
      </c>
      <c r="E36" s="23">
        <f>18.27</f>
        <v>18.27</v>
      </c>
      <c r="F36" s="23"/>
      <c r="G36" s="23"/>
      <c r="H36" s="23"/>
      <c r="I36" s="22">
        <v>53.1</v>
      </c>
      <c r="J36" s="22"/>
      <c r="K36" s="22">
        <v>15.17</v>
      </c>
      <c r="L36" s="22"/>
      <c r="M36" s="22">
        <v>9.6</v>
      </c>
      <c r="N36" s="22"/>
      <c r="O36" s="22"/>
      <c r="P36" s="22"/>
      <c r="Q36" s="22">
        <v>11.34</v>
      </c>
      <c r="R36" s="22">
        <v>26.88</v>
      </c>
    </row>
    <row r="37" spans="1:18" s="24" customFormat="1" ht="8.25" customHeight="1">
      <c r="A37" s="19" t="s">
        <v>8</v>
      </c>
      <c r="B37" s="20" t="s">
        <v>7</v>
      </c>
      <c r="C37" s="21">
        <v>190.26</v>
      </c>
      <c r="D37" s="22">
        <v>14.94</v>
      </c>
      <c r="E37" s="23"/>
      <c r="F37" s="23">
        <f>39</f>
        <v>39</v>
      </c>
      <c r="G37" s="23"/>
      <c r="H37" s="23">
        <v>99.44</v>
      </c>
      <c r="I37" s="22"/>
      <c r="J37" s="22">
        <v>29.44</v>
      </c>
      <c r="K37" s="22"/>
      <c r="L37" s="22">
        <v>7.44</v>
      </c>
      <c r="M37" s="22"/>
      <c r="N37" s="22"/>
      <c r="O37" s="22"/>
      <c r="P37" s="22">
        <v>4.86</v>
      </c>
      <c r="Q37" s="22"/>
      <c r="R37" s="22"/>
    </row>
    <row r="38" spans="1:18" s="24" customFormat="1" ht="8.25" customHeight="1">
      <c r="A38" s="41" t="s">
        <v>34</v>
      </c>
      <c r="B38" s="15"/>
      <c r="C38" s="37"/>
      <c r="D38" s="46"/>
      <c r="E38" s="47"/>
      <c r="F38" s="47"/>
      <c r="G38" s="47"/>
      <c r="H38" s="47"/>
      <c r="I38" s="46"/>
      <c r="J38" s="46"/>
      <c r="K38" s="46"/>
      <c r="L38" s="46"/>
      <c r="M38" s="46"/>
      <c r="N38" s="46"/>
      <c r="O38" s="46"/>
      <c r="P38" s="46"/>
      <c r="Q38" s="46"/>
      <c r="R38" s="38"/>
    </row>
    <row r="39" spans="1:18" s="24" customFormat="1" ht="8.25" customHeight="1">
      <c r="A39" s="19" t="s">
        <v>20</v>
      </c>
      <c r="B39" s="20" t="s">
        <v>17</v>
      </c>
      <c r="C39" s="21">
        <f>SUM(D39:R39)</f>
        <v>172.71999999999997</v>
      </c>
      <c r="D39" s="19">
        <v>18.26</v>
      </c>
      <c r="E39" s="25"/>
      <c r="F39" s="25"/>
      <c r="G39" s="25"/>
      <c r="H39" s="25">
        <v>92.66</v>
      </c>
      <c r="I39" s="19"/>
      <c r="J39" s="19">
        <v>33.12</v>
      </c>
      <c r="K39" s="19"/>
      <c r="L39" s="19"/>
      <c r="M39" s="19"/>
      <c r="N39" s="19">
        <v>12.48</v>
      </c>
      <c r="O39" s="19"/>
      <c r="P39" s="19">
        <v>16.2</v>
      </c>
      <c r="Q39" s="19"/>
      <c r="R39" s="19"/>
    </row>
    <row r="40" spans="1:18" s="24" customFormat="1" ht="8.25" customHeight="1">
      <c r="A40" s="19" t="s">
        <v>15</v>
      </c>
      <c r="B40" s="20" t="s">
        <v>7</v>
      </c>
      <c r="C40" s="21">
        <v>168.16</v>
      </c>
      <c r="D40" s="22">
        <v>29.88</v>
      </c>
      <c r="E40" s="23">
        <f>20.79</f>
        <v>20.79</v>
      </c>
      <c r="F40" s="23">
        <v>14.43</v>
      </c>
      <c r="G40" s="23"/>
      <c r="H40" s="23">
        <v>66.67</v>
      </c>
      <c r="I40" s="22">
        <v>24.78</v>
      </c>
      <c r="J40" s="22">
        <v>13.8</v>
      </c>
      <c r="K40" s="22"/>
      <c r="L40" s="22">
        <v>26.04</v>
      </c>
      <c r="M40" s="22">
        <v>5.12</v>
      </c>
      <c r="N40" s="22"/>
      <c r="O40" s="22"/>
      <c r="P40" s="22"/>
      <c r="Q40" s="22">
        <v>18.36</v>
      </c>
      <c r="R40" s="22">
        <v>15.12</v>
      </c>
    </row>
    <row r="41" spans="1:18" s="24" customFormat="1" ht="8.25" customHeight="1">
      <c r="A41" s="19" t="s">
        <v>58</v>
      </c>
      <c r="B41" s="20" t="s">
        <v>21</v>
      </c>
      <c r="C41" s="21">
        <v>168.01</v>
      </c>
      <c r="D41" s="19">
        <v>21.58</v>
      </c>
      <c r="E41" s="25">
        <v>5.04</v>
      </c>
      <c r="F41" s="25"/>
      <c r="G41" s="25"/>
      <c r="H41" s="25"/>
      <c r="I41" s="19">
        <v>6.49</v>
      </c>
      <c r="J41" s="19"/>
      <c r="K41" s="19"/>
      <c r="L41" s="19"/>
      <c r="M41" s="19">
        <v>36.48</v>
      </c>
      <c r="N41" s="19"/>
      <c r="O41" s="19"/>
      <c r="P41" s="19">
        <v>13.77</v>
      </c>
      <c r="Q41" s="19">
        <v>56.7</v>
      </c>
      <c r="R41" s="19">
        <v>39.48</v>
      </c>
    </row>
    <row r="42" spans="1:18" ht="8.25" customHeight="1">
      <c r="A42" s="19" t="s">
        <v>27</v>
      </c>
      <c r="B42" s="20" t="s">
        <v>17</v>
      </c>
      <c r="C42" s="21">
        <v>165.61</v>
      </c>
      <c r="D42" s="22">
        <v>14.94</v>
      </c>
      <c r="E42" s="23"/>
      <c r="F42" s="23">
        <v>12.87</v>
      </c>
      <c r="G42" s="23"/>
      <c r="H42" s="23">
        <v>12.43</v>
      </c>
      <c r="I42" s="22"/>
      <c r="J42" s="22">
        <v>7.36</v>
      </c>
      <c r="K42" s="22"/>
      <c r="L42" s="22">
        <v>32.55</v>
      </c>
      <c r="M42" s="22"/>
      <c r="N42" s="22">
        <v>92.82</v>
      </c>
      <c r="O42" s="22"/>
      <c r="P42" s="22">
        <v>10.53</v>
      </c>
      <c r="Q42" s="22"/>
      <c r="R42" s="22"/>
    </row>
    <row r="43" spans="1:25" s="5" customFormat="1" ht="8.25">
      <c r="A43" s="19" t="s">
        <v>39</v>
      </c>
      <c r="B43" s="20" t="s">
        <v>9</v>
      </c>
      <c r="C43" s="21">
        <v>151.44</v>
      </c>
      <c r="D43" s="22">
        <v>54.78</v>
      </c>
      <c r="E43" s="23">
        <v>27.09</v>
      </c>
      <c r="F43" s="23"/>
      <c r="G43" s="23">
        <v>11.61</v>
      </c>
      <c r="H43" s="23"/>
      <c r="I43" s="22"/>
      <c r="J43" s="22"/>
      <c r="K43" s="22">
        <v>7.4</v>
      </c>
      <c r="L43" s="22"/>
      <c r="M43" s="22"/>
      <c r="N43" s="22"/>
      <c r="O43" s="22">
        <v>12.6</v>
      </c>
      <c r="P43" s="22"/>
      <c r="Q43" s="22"/>
      <c r="R43" s="22">
        <v>45.36</v>
      </c>
      <c r="S43" s="59"/>
      <c r="T43" s="61"/>
      <c r="U43" s="61"/>
      <c r="V43" s="61"/>
      <c r="W43" s="61"/>
      <c r="X43" s="61"/>
      <c r="Y43" s="60"/>
    </row>
    <row r="45" spans="1:18" ht="8.25" customHeight="1">
      <c r="A45" s="54"/>
      <c r="B45" s="2" t="s">
        <v>4</v>
      </c>
      <c r="C45" s="3" t="s">
        <v>1</v>
      </c>
      <c r="D45" s="3" t="s">
        <v>0</v>
      </c>
      <c r="E45" s="3" t="s">
        <v>50</v>
      </c>
      <c r="F45" s="3" t="s">
        <v>46</v>
      </c>
      <c r="G45" s="3" t="s">
        <v>45</v>
      </c>
      <c r="H45" s="3" t="s">
        <v>111</v>
      </c>
      <c r="I45" s="3" t="s">
        <v>154</v>
      </c>
      <c r="J45" s="3" t="s">
        <v>44</v>
      </c>
      <c r="K45" s="3" t="s">
        <v>171</v>
      </c>
      <c r="L45" s="3" t="s">
        <v>158</v>
      </c>
      <c r="M45" s="3" t="s">
        <v>161</v>
      </c>
      <c r="N45" s="3" t="s">
        <v>178</v>
      </c>
      <c r="O45" s="3" t="s">
        <v>47</v>
      </c>
      <c r="P45" s="3" t="s">
        <v>173</v>
      </c>
      <c r="Q45" s="3" t="s">
        <v>168</v>
      </c>
      <c r="R45" s="3" t="s">
        <v>175</v>
      </c>
    </row>
    <row r="46" spans="1:18" ht="8.25" customHeight="1">
      <c r="A46" s="56" t="s">
        <v>30</v>
      </c>
      <c r="B46" s="6"/>
      <c r="C46" s="7"/>
      <c r="D46" s="7" t="s">
        <v>140</v>
      </c>
      <c r="E46" s="8" t="s">
        <v>145</v>
      </c>
      <c r="F46" s="8" t="s">
        <v>148</v>
      </c>
      <c r="G46" s="8" t="s">
        <v>149</v>
      </c>
      <c r="H46" s="8" t="s">
        <v>151</v>
      </c>
      <c r="I46" s="8" t="s">
        <v>155</v>
      </c>
      <c r="J46" s="8" t="s">
        <v>156</v>
      </c>
      <c r="K46" s="8" t="s">
        <v>172</v>
      </c>
      <c r="L46" s="8" t="s">
        <v>159</v>
      </c>
      <c r="M46" s="8" t="s">
        <v>162</v>
      </c>
      <c r="N46" s="8" t="s">
        <v>179</v>
      </c>
      <c r="O46" s="8" t="s">
        <v>166</v>
      </c>
      <c r="P46" s="8" t="s">
        <v>174</v>
      </c>
      <c r="Q46" s="8" t="s">
        <v>169</v>
      </c>
      <c r="R46" s="8" t="s">
        <v>176</v>
      </c>
    </row>
    <row r="47" spans="1:18" ht="8.25" customHeight="1">
      <c r="A47" s="55"/>
      <c r="B47" s="10"/>
      <c r="C47" s="11"/>
      <c r="D47" s="11">
        <f>1.39+0.27</f>
        <v>1.66</v>
      </c>
      <c r="E47" s="11" t="s">
        <v>146</v>
      </c>
      <c r="F47" s="11" t="s">
        <v>147</v>
      </c>
      <c r="G47" s="11" t="s">
        <v>104</v>
      </c>
      <c r="H47" s="11" t="s">
        <v>150</v>
      </c>
      <c r="I47" s="11" t="s">
        <v>123</v>
      </c>
      <c r="J47" s="11" t="s">
        <v>157</v>
      </c>
      <c r="K47" s="11">
        <v>0.37</v>
      </c>
      <c r="L47" s="11" t="s">
        <v>160</v>
      </c>
      <c r="M47" s="11" t="s">
        <v>163</v>
      </c>
      <c r="N47" s="11">
        <v>0.78</v>
      </c>
      <c r="O47" s="11" t="s">
        <v>167</v>
      </c>
      <c r="P47" s="11">
        <v>0.81</v>
      </c>
      <c r="Q47" s="11" t="s">
        <v>170</v>
      </c>
      <c r="R47" s="11">
        <v>0.84</v>
      </c>
    </row>
    <row r="48" spans="1:18" ht="8.25" customHeight="1">
      <c r="A48" s="41" t="s">
        <v>2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5"/>
    </row>
    <row r="49" spans="1:18" ht="8.25" customHeight="1">
      <c r="A49" s="19" t="s">
        <v>10</v>
      </c>
      <c r="B49" s="20" t="s">
        <v>7</v>
      </c>
      <c r="C49" s="21">
        <v>559.98</v>
      </c>
      <c r="D49" s="22">
        <v>141.1</v>
      </c>
      <c r="E49" s="22">
        <v>19.53</v>
      </c>
      <c r="F49" s="22">
        <v>58.89</v>
      </c>
      <c r="G49" s="22"/>
      <c r="H49" s="22">
        <v>91.53</v>
      </c>
      <c r="I49" s="22">
        <v>26.55</v>
      </c>
      <c r="J49" s="22">
        <v>103.04</v>
      </c>
      <c r="K49" s="22"/>
      <c r="L49" s="22">
        <v>112.53</v>
      </c>
      <c r="M49" s="22">
        <v>5.12</v>
      </c>
      <c r="N49" s="22"/>
      <c r="O49" s="22"/>
      <c r="P49" s="22">
        <v>111.78</v>
      </c>
      <c r="Q49" s="22"/>
      <c r="R49" s="22">
        <v>5.04</v>
      </c>
    </row>
    <row r="50" spans="1:18" ht="8.25" customHeight="1">
      <c r="A50" s="19" t="s">
        <v>23</v>
      </c>
      <c r="B50" s="20" t="s">
        <v>24</v>
      </c>
      <c r="C50" s="21">
        <v>503.05</v>
      </c>
      <c r="D50" s="22">
        <v>23.24</v>
      </c>
      <c r="E50" s="22">
        <v>16.38</v>
      </c>
      <c r="F50" s="22"/>
      <c r="G50" s="22"/>
      <c r="H50" s="22"/>
      <c r="I50" s="22">
        <v>39.53</v>
      </c>
      <c r="J50" s="22"/>
      <c r="K50" s="22"/>
      <c r="L50" s="22"/>
      <c r="M50" s="22">
        <v>92.16</v>
      </c>
      <c r="N50" s="22"/>
      <c r="O50" s="22"/>
      <c r="P50" s="22"/>
      <c r="Q50" s="22">
        <v>141.48</v>
      </c>
      <c r="R50" s="22">
        <v>206.64</v>
      </c>
    </row>
    <row r="51" spans="1:18" ht="8.25" customHeight="1">
      <c r="A51" s="19" t="s">
        <v>18</v>
      </c>
      <c r="B51" s="20" t="s">
        <v>14</v>
      </c>
      <c r="C51" s="21">
        <f>SUM(D51:AA51)</f>
        <v>321.21000000000004</v>
      </c>
      <c r="D51" s="21"/>
      <c r="E51" s="21"/>
      <c r="F51" s="21"/>
      <c r="G51" s="21"/>
      <c r="H51" s="21"/>
      <c r="I51" s="21"/>
      <c r="J51" s="21">
        <v>138</v>
      </c>
      <c r="K51" s="21"/>
      <c r="L51" s="21">
        <v>183.21</v>
      </c>
      <c r="M51" s="21"/>
      <c r="N51" s="21"/>
      <c r="O51" s="21"/>
      <c r="P51" s="21"/>
      <c r="Q51" s="21"/>
      <c r="R51" s="21"/>
    </row>
    <row r="52" spans="1:18" ht="8.25" customHeight="1">
      <c r="A52" s="19" t="s">
        <v>38</v>
      </c>
      <c r="B52" s="20" t="s">
        <v>37</v>
      </c>
      <c r="C52" s="21">
        <f>SUM(D52:AA52)</f>
        <v>309.61</v>
      </c>
      <c r="D52" s="22"/>
      <c r="E52" s="22"/>
      <c r="F52" s="22"/>
      <c r="G52" s="22"/>
      <c r="H52" s="22">
        <v>149.16</v>
      </c>
      <c r="I52" s="22"/>
      <c r="J52" s="22">
        <v>81.88</v>
      </c>
      <c r="K52" s="22"/>
      <c r="L52" s="22">
        <v>50.22</v>
      </c>
      <c r="M52" s="22"/>
      <c r="N52" s="22"/>
      <c r="O52" s="22"/>
      <c r="P52" s="22">
        <v>28.35</v>
      </c>
      <c r="Q52" s="22"/>
      <c r="R52" s="22"/>
    </row>
    <row r="53" spans="1:18" ht="8.25" customHeight="1">
      <c r="A53" s="19" t="s">
        <v>3</v>
      </c>
      <c r="B53" s="20" t="s">
        <v>7</v>
      </c>
      <c r="C53" s="21">
        <v>289.19</v>
      </c>
      <c r="D53" s="22">
        <v>147.74</v>
      </c>
      <c r="E53" s="22"/>
      <c r="F53" s="22">
        <v>33.54</v>
      </c>
      <c r="G53" s="22"/>
      <c r="H53" s="22">
        <v>56.5</v>
      </c>
      <c r="I53" s="22"/>
      <c r="J53" s="22">
        <v>3.68</v>
      </c>
      <c r="K53" s="22">
        <v>18.13</v>
      </c>
      <c r="L53" s="22">
        <v>16.74</v>
      </c>
      <c r="M53" s="22">
        <v>33.28</v>
      </c>
      <c r="N53" s="22"/>
      <c r="O53" s="22"/>
      <c r="P53" s="22">
        <v>9.72</v>
      </c>
      <c r="Q53" s="22">
        <v>4.32</v>
      </c>
      <c r="R53" s="22">
        <v>8.4</v>
      </c>
    </row>
    <row r="54" spans="1:18" ht="8.25" customHeight="1">
      <c r="A54" s="41" t="s">
        <v>33</v>
      </c>
      <c r="B54" s="15"/>
      <c r="C54" s="3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38"/>
    </row>
    <row r="55" spans="1:18" ht="8.25" customHeight="1">
      <c r="A55" s="19" t="s">
        <v>42</v>
      </c>
      <c r="B55" s="20" t="s">
        <v>17</v>
      </c>
      <c r="C55" s="21">
        <v>198.63</v>
      </c>
      <c r="D55" s="22"/>
      <c r="E55" s="22"/>
      <c r="F55" s="22"/>
      <c r="G55" s="22"/>
      <c r="H55" s="22">
        <v>32.77</v>
      </c>
      <c r="I55" s="22"/>
      <c r="J55" s="22"/>
      <c r="K55" s="22"/>
      <c r="L55" s="22"/>
      <c r="M55" s="22">
        <v>18.56</v>
      </c>
      <c r="N55" s="22">
        <v>159.9</v>
      </c>
      <c r="O55" s="22">
        <v>3.24</v>
      </c>
      <c r="P55" s="22"/>
      <c r="Q55" s="22">
        <v>14.58</v>
      </c>
      <c r="R55" s="22">
        <v>132.72</v>
      </c>
    </row>
    <row r="56" spans="1:18" ht="8.25" customHeight="1">
      <c r="A56" s="19" t="s">
        <v>8</v>
      </c>
      <c r="B56" s="20" t="s">
        <v>7</v>
      </c>
      <c r="C56" s="21">
        <v>190.26</v>
      </c>
      <c r="D56" s="21">
        <v>14.94</v>
      </c>
      <c r="E56" s="21"/>
      <c r="F56" s="21">
        <v>39</v>
      </c>
      <c r="G56" s="21"/>
      <c r="H56" s="21">
        <v>99.44</v>
      </c>
      <c r="I56" s="21"/>
      <c r="J56" s="21">
        <v>29.44</v>
      </c>
      <c r="K56" s="21"/>
      <c r="L56" s="21">
        <v>7.44</v>
      </c>
      <c r="M56" s="21"/>
      <c r="N56" s="21"/>
      <c r="O56" s="21"/>
      <c r="P56" s="21">
        <v>4.86</v>
      </c>
      <c r="Q56" s="21"/>
      <c r="R56" s="21"/>
    </row>
    <row r="57" spans="1:18" ht="8.25" customHeight="1">
      <c r="A57" s="19" t="s">
        <v>25</v>
      </c>
      <c r="B57" s="20" t="s">
        <v>26</v>
      </c>
      <c r="C57" s="21">
        <v>171.91</v>
      </c>
      <c r="D57" s="22">
        <v>84.66</v>
      </c>
      <c r="E57" s="22">
        <v>17.01</v>
      </c>
      <c r="F57" s="22"/>
      <c r="G57" s="22"/>
      <c r="H57" s="22"/>
      <c r="I57" s="22">
        <v>47.2</v>
      </c>
      <c r="J57" s="22"/>
      <c r="K57" s="22"/>
      <c r="L57" s="22"/>
      <c r="M57" s="22">
        <v>9.6</v>
      </c>
      <c r="N57" s="22"/>
      <c r="O57" s="22"/>
      <c r="P57" s="22"/>
      <c r="Q57" s="22">
        <v>8.64</v>
      </c>
      <c r="R57" s="22">
        <v>13.44</v>
      </c>
    </row>
    <row r="58" spans="1:18" ht="8.25" customHeight="1">
      <c r="A58" s="19" t="s">
        <v>13</v>
      </c>
      <c r="B58" s="20" t="s">
        <v>9</v>
      </c>
      <c r="C58" s="21">
        <v>152.72</v>
      </c>
      <c r="D58" s="21">
        <v>66.4</v>
      </c>
      <c r="E58" s="21">
        <v>20.79</v>
      </c>
      <c r="F58" s="21"/>
      <c r="G58" s="21">
        <v>3.24</v>
      </c>
      <c r="H58" s="21"/>
      <c r="I58" s="21"/>
      <c r="J58" s="21"/>
      <c r="K58" s="21">
        <v>15.91</v>
      </c>
      <c r="L58" s="21">
        <v>20.46</v>
      </c>
      <c r="M58" s="21"/>
      <c r="N58" s="21"/>
      <c r="O58" s="21">
        <v>29.16</v>
      </c>
      <c r="P58" s="21"/>
      <c r="Q58" s="21"/>
      <c r="R58" s="21"/>
    </row>
    <row r="59" spans="1:18" ht="8.25" customHeight="1">
      <c r="A59" s="19" t="s">
        <v>79</v>
      </c>
      <c r="B59" s="20" t="s">
        <v>5</v>
      </c>
      <c r="C59" s="21">
        <f>SUM(D59:AA59)</f>
        <v>147.67000000000002</v>
      </c>
      <c r="D59" s="22">
        <v>109.56</v>
      </c>
      <c r="E59" s="22"/>
      <c r="F59" s="22"/>
      <c r="G59" s="22"/>
      <c r="H59" s="22"/>
      <c r="I59" s="22"/>
      <c r="J59" s="22"/>
      <c r="K59" s="22">
        <v>38.11</v>
      </c>
      <c r="L59" s="22"/>
      <c r="M59" s="22"/>
      <c r="N59" s="22"/>
      <c r="O59" s="22"/>
      <c r="P59" s="22"/>
      <c r="Q59" s="22"/>
      <c r="R59" s="22"/>
    </row>
    <row r="60" spans="1:18" ht="8.25" customHeight="1">
      <c r="A60" s="41" t="s">
        <v>34</v>
      </c>
      <c r="B60" s="15"/>
      <c r="C60" s="3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38"/>
    </row>
    <row r="61" spans="1:18" ht="8.25" customHeight="1">
      <c r="A61" s="19" t="s">
        <v>20</v>
      </c>
      <c r="B61" s="20" t="s">
        <v>17</v>
      </c>
      <c r="C61" s="21">
        <f>SUM(D61:AA61)</f>
        <v>116.11000000000001</v>
      </c>
      <c r="D61" s="22"/>
      <c r="E61" s="22"/>
      <c r="F61" s="22"/>
      <c r="G61" s="22"/>
      <c r="H61" s="22">
        <v>92.66</v>
      </c>
      <c r="I61" s="22"/>
      <c r="J61" s="22">
        <v>3.68</v>
      </c>
      <c r="K61" s="22"/>
      <c r="L61" s="22"/>
      <c r="M61" s="22"/>
      <c r="N61" s="22">
        <v>12.48</v>
      </c>
      <c r="O61" s="22"/>
      <c r="P61" s="22">
        <v>7.29</v>
      </c>
      <c r="Q61" s="22"/>
      <c r="R61" s="22"/>
    </row>
    <row r="62" spans="1:18" ht="8.25" customHeight="1">
      <c r="A62" s="19" t="s">
        <v>39</v>
      </c>
      <c r="B62" s="20" t="s">
        <v>9</v>
      </c>
      <c r="C62" s="21">
        <f>SUM(D62:AA62)</f>
        <v>113.48</v>
      </c>
      <c r="D62" s="22">
        <v>54.78</v>
      </c>
      <c r="E62" s="22">
        <v>27.09</v>
      </c>
      <c r="F62" s="22"/>
      <c r="G62" s="22">
        <v>11.61</v>
      </c>
      <c r="H62" s="22"/>
      <c r="I62" s="22"/>
      <c r="J62" s="22"/>
      <c r="K62" s="22">
        <v>7.4</v>
      </c>
      <c r="L62" s="22"/>
      <c r="M62" s="22"/>
      <c r="N62" s="22"/>
      <c r="O62" s="22">
        <v>12.6</v>
      </c>
      <c r="P62" s="22"/>
      <c r="Q62" s="22"/>
      <c r="R62" s="22"/>
    </row>
    <row r="63" spans="1:18" ht="8.25" customHeight="1">
      <c r="A63" s="19" t="s">
        <v>59</v>
      </c>
      <c r="B63" s="20" t="s">
        <v>9</v>
      </c>
      <c r="C63" s="21">
        <f>SUM(D63:AA63)</f>
        <v>108.57</v>
      </c>
      <c r="D63" s="21">
        <v>49.8</v>
      </c>
      <c r="E63" s="21">
        <v>35.91</v>
      </c>
      <c r="F63" s="21"/>
      <c r="G63" s="21">
        <v>16.74</v>
      </c>
      <c r="H63" s="21"/>
      <c r="I63" s="21"/>
      <c r="J63" s="21"/>
      <c r="K63" s="21"/>
      <c r="L63" s="21"/>
      <c r="M63" s="21"/>
      <c r="N63" s="21"/>
      <c r="O63" s="21">
        <v>6.12</v>
      </c>
      <c r="P63" s="21"/>
      <c r="Q63" s="21"/>
      <c r="R63" s="21"/>
    </row>
    <row r="64" spans="1:18" ht="8.25" customHeight="1">
      <c r="A64" s="19" t="s">
        <v>58</v>
      </c>
      <c r="B64" s="20" t="s">
        <v>21</v>
      </c>
      <c r="C64" s="21">
        <v>97.02</v>
      </c>
      <c r="D64" s="21">
        <v>21.58</v>
      </c>
      <c r="E64" s="21">
        <v>5.04</v>
      </c>
      <c r="F64" s="21"/>
      <c r="G64" s="21"/>
      <c r="H64" s="21"/>
      <c r="I64" s="21">
        <v>6.49</v>
      </c>
      <c r="J64" s="21"/>
      <c r="K64" s="21"/>
      <c r="L64" s="21"/>
      <c r="M64" s="21">
        <v>20.48</v>
      </c>
      <c r="N64" s="21"/>
      <c r="O64" s="21"/>
      <c r="P64" s="21">
        <v>8.1</v>
      </c>
      <c r="Q64" s="21">
        <v>27.54</v>
      </c>
      <c r="R64" s="21">
        <v>19.32</v>
      </c>
    </row>
    <row r="65" spans="1:18" ht="8.25" customHeight="1">
      <c r="A65" s="19" t="s">
        <v>28</v>
      </c>
      <c r="B65" s="20" t="s">
        <v>17</v>
      </c>
      <c r="C65" s="21">
        <f>SUM(D65:AA65)</f>
        <v>88.92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v>88.92</v>
      </c>
      <c r="O65" s="21"/>
      <c r="P65" s="21"/>
      <c r="Q65" s="21"/>
      <c r="R65" s="21"/>
    </row>
  </sheetData>
  <sheetProtection/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K57" sqref="K57"/>
    </sheetView>
  </sheetViews>
  <sheetFormatPr defaultColWidth="9.140625" defaultRowHeight="12.75"/>
  <cols>
    <col min="1" max="1" width="6.00390625" style="30" customWidth="1"/>
    <col min="2" max="2" width="18.7109375" style="31" customWidth="1"/>
    <col min="3" max="3" width="3.421875" style="32" customWidth="1"/>
    <col min="4" max="4" width="4.421875" style="31" customWidth="1"/>
    <col min="5" max="5" width="5.7109375" style="31" customWidth="1"/>
    <col min="6" max="6" width="6.140625" style="31" customWidth="1"/>
    <col min="7" max="7" width="6.00390625" style="31" customWidth="1"/>
    <col min="8" max="8" width="5.140625" style="31" customWidth="1"/>
    <col min="9" max="10" width="6.00390625" style="31" customWidth="1"/>
    <col min="11" max="11" width="6.140625" style="31" customWidth="1"/>
    <col min="12" max="12" width="5.8515625" style="31" customWidth="1"/>
    <col min="13" max="13" width="6.00390625" style="31" customWidth="1"/>
    <col min="14" max="14" width="6.421875" style="31" customWidth="1"/>
    <col min="15" max="15" width="5.7109375" style="31" customWidth="1"/>
    <col min="16" max="16" width="6.7109375" style="31" customWidth="1"/>
    <col min="17" max="17" width="6.140625" style="31" customWidth="1"/>
    <col min="18" max="18" width="5.8515625" style="31" customWidth="1"/>
    <col min="19" max="21" width="6.140625" style="31" customWidth="1"/>
    <col min="22" max="22" width="7.57421875" style="33" customWidth="1"/>
    <col min="23" max="16384" width="9.140625" style="31" customWidth="1"/>
  </cols>
  <sheetData>
    <row r="1" spans="1:22" s="5" customFormat="1" ht="8.25">
      <c r="A1" s="1">
        <v>9999</v>
      </c>
      <c r="B1" s="51"/>
      <c r="C1" s="2" t="s">
        <v>4</v>
      </c>
      <c r="D1" s="3" t="s">
        <v>1</v>
      </c>
      <c r="E1" s="3" t="s">
        <v>53</v>
      </c>
      <c r="F1" s="3" t="s">
        <v>50</v>
      </c>
      <c r="G1" s="3" t="s">
        <v>46</v>
      </c>
      <c r="H1" s="3" t="s">
        <v>65</v>
      </c>
      <c r="I1" s="3" t="s">
        <v>45</v>
      </c>
      <c r="J1" s="3" t="s">
        <v>0</v>
      </c>
      <c r="K1" s="3" t="s">
        <v>44</v>
      </c>
      <c r="L1" s="3" t="s">
        <v>101</v>
      </c>
      <c r="M1" s="3" t="s">
        <v>43</v>
      </c>
      <c r="N1" s="3" t="s">
        <v>111</v>
      </c>
      <c r="O1" s="3" t="s">
        <v>114</v>
      </c>
      <c r="P1" s="3" t="s">
        <v>117</v>
      </c>
      <c r="Q1" s="3" t="s">
        <v>47</v>
      </c>
      <c r="R1" s="3" t="s">
        <v>125</v>
      </c>
      <c r="S1" s="3" t="s">
        <v>48</v>
      </c>
      <c r="T1" s="3" t="s">
        <v>129</v>
      </c>
      <c r="U1" s="3" t="s">
        <v>131</v>
      </c>
      <c r="V1" s="4" t="s">
        <v>135</v>
      </c>
    </row>
    <row r="2" spans="1:22" s="5" customFormat="1" ht="8.25">
      <c r="A2" s="1">
        <v>9998</v>
      </c>
      <c r="B2" s="52" t="s">
        <v>31</v>
      </c>
      <c r="C2" s="6"/>
      <c r="D2" s="7"/>
      <c r="E2" s="7" t="s">
        <v>54</v>
      </c>
      <c r="F2" s="8" t="s">
        <v>62</v>
      </c>
      <c r="G2" s="8" t="s">
        <v>68</v>
      </c>
      <c r="H2" s="8" t="s">
        <v>66</v>
      </c>
      <c r="I2" s="8" t="s">
        <v>107</v>
      </c>
      <c r="J2" s="8" t="s">
        <v>75</v>
      </c>
      <c r="K2" s="8" t="s">
        <v>98</v>
      </c>
      <c r="L2" s="8" t="s">
        <v>102</v>
      </c>
      <c r="M2" s="8" t="s">
        <v>105</v>
      </c>
      <c r="N2" s="8" t="s">
        <v>112</v>
      </c>
      <c r="O2" s="7" t="s">
        <v>116</v>
      </c>
      <c r="P2" s="7" t="s">
        <v>118</v>
      </c>
      <c r="Q2" s="8" t="s">
        <v>120</v>
      </c>
      <c r="R2" s="8" t="s">
        <v>124</v>
      </c>
      <c r="S2" s="8" t="s">
        <v>126</v>
      </c>
      <c r="T2" s="8" t="s">
        <v>130</v>
      </c>
      <c r="U2" s="8" t="s">
        <v>132</v>
      </c>
      <c r="V2" s="9" t="s">
        <v>137</v>
      </c>
    </row>
    <row r="3" spans="1:22" s="13" customFormat="1" ht="8.25">
      <c r="A3" s="1">
        <v>9997</v>
      </c>
      <c r="B3" s="53"/>
      <c r="C3" s="10"/>
      <c r="D3" s="11"/>
      <c r="E3" s="11" t="s">
        <v>52</v>
      </c>
      <c r="F3" s="11" t="s">
        <v>63</v>
      </c>
      <c r="G3" s="11" t="s">
        <v>69</v>
      </c>
      <c r="H3" s="11" t="s">
        <v>64</v>
      </c>
      <c r="I3" s="11" t="s">
        <v>108</v>
      </c>
      <c r="J3" s="11" t="s">
        <v>76</v>
      </c>
      <c r="K3" s="11" t="s">
        <v>22</v>
      </c>
      <c r="L3" s="11" t="s">
        <v>100</v>
      </c>
      <c r="M3" s="11" t="s">
        <v>104</v>
      </c>
      <c r="N3" s="11" t="s">
        <v>69</v>
      </c>
      <c r="O3" s="11" t="s">
        <v>115</v>
      </c>
      <c r="P3" s="11" t="s">
        <v>119</v>
      </c>
      <c r="Q3" s="40" t="s">
        <v>121</v>
      </c>
      <c r="R3" s="40" t="s">
        <v>123</v>
      </c>
      <c r="S3" s="40" t="s">
        <v>127</v>
      </c>
      <c r="T3" s="11" t="s">
        <v>128</v>
      </c>
      <c r="U3" s="11" t="s">
        <v>133</v>
      </c>
      <c r="V3" s="12" t="s">
        <v>136</v>
      </c>
    </row>
    <row r="4" spans="1:22" s="5" customFormat="1" ht="8.25">
      <c r="A4" s="1">
        <v>9996</v>
      </c>
      <c r="B4" s="41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2" s="24" customFormat="1" ht="8.25">
      <c r="A5" s="18">
        <f>SUM(0+D5)</f>
        <v>615.06</v>
      </c>
      <c r="B5" s="19" t="s">
        <v>13</v>
      </c>
      <c r="C5" s="20" t="s">
        <v>9</v>
      </c>
      <c r="D5" s="21">
        <v>615.06</v>
      </c>
      <c r="E5" s="22">
        <v>130.34</v>
      </c>
      <c r="F5" s="23">
        <v>109.85</v>
      </c>
      <c r="G5" s="23"/>
      <c r="H5" s="23">
        <v>11.18</v>
      </c>
      <c r="I5" s="23">
        <v>62.1</v>
      </c>
      <c r="J5" s="23">
        <f>151.14+15.11</f>
        <v>166.25</v>
      </c>
      <c r="K5" s="23">
        <v>3.33</v>
      </c>
      <c r="L5" s="23"/>
      <c r="M5" s="23"/>
      <c r="N5" s="23">
        <v>20.16</v>
      </c>
      <c r="O5" s="23">
        <v>99.4</v>
      </c>
      <c r="P5" s="23"/>
      <c r="Q5" s="23">
        <v>109.22</v>
      </c>
      <c r="R5" s="23"/>
      <c r="S5" s="23"/>
      <c r="T5" s="23"/>
      <c r="U5" s="23"/>
      <c r="V5" s="23">
        <v>65.55</v>
      </c>
    </row>
    <row r="6" spans="1:22" s="24" customFormat="1" ht="8.25">
      <c r="A6" s="18">
        <f aca="true" t="shared" si="0" ref="A6:A13">SUM(0+D6)</f>
        <v>613.58</v>
      </c>
      <c r="B6" s="19" t="s">
        <v>55</v>
      </c>
      <c r="C6" s="20" t="s">
        <v>9</v>
      </c>
      <c r="D6" s="21">
        <v>613.58</v>
      </c>
      <c r="E6" s="19">
        <v>110.74</v>
      </c>
      <c r="F6" s="25">
        <v>94.08</v>
      </c>
      <c r="G6" s="25">
        <f>58.8+5.88</f>
        <v>64.67999999999999</v>
      </c>
      <c r="H6" s="25"/>
      <c r="I6" s="25">
        <v>82.11</v>
      </c>
      <c r="J6" s="25">
        <f>238.16+23.81</f>
        <v>261.96999999999997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>
        <v>46.17</v>
      </c>
    </row>
    <row r="7" spans="1:22" s="24" customFormat="1" ht="8.25">
      <c r="A7" s="18">
        <f t="shared" si="0"/>
        <v>218.44</v>
      </c>
      <c r="B7" s="19" t="s">
        <v>57</v>
      </c>
      <c r="C7" s="20" t="s">
        <v>9</v>
      </c>
      <c r="D7" s="21">
        <f aca="true" t="shared" si="1" ref="D7:D14">SUM(E7:V7)</f>
        <v>218.44</v>
      </c>
      <c r="E7" s="22">
        <v>14.7</v>
      </c>
      <c r="F7" s="23">
        <v>11.05</v>
      </c>
      <c r="G7" s="23"/>
      <c r="H7" s="23"/>
      <c r="I7" s="23">
        <v>94.53</v>
      </c>
      <c r="J7" s="23">
        <f>38.93+3.89</f>
        <v>42.82</v>
      </c>
      <c r="K7" s="23"/>
      <c r="L7" s="23"/>
      <c r="M7" s="23"/>
      <c r="N7" s="23"/>
      <c r="O7" s="23"/>
      <c r="P7" s="23"/>
      <c r="Q7" s="23">
        <f>50.31+5.03</f>
        <v>55.34</v>
      </c>
      <c r="R7" s="23"/>
      <c r="S7" s="23"/>
      <c r="T7" s="23"/>
      <c r="U7" s="23"/>
      <c r="V7" s="23"/>
    </row>
    <row r="8" spans="1:22" s="24" customFormat="1" ht="8.25">
      <c r="A8" s="18">
        <f>SUM(0+D8)</f>
        <v>198.9</v>
      </c>
      <c r="B8" s="19" t="s">
        <v>39</v>
      </c>
      <c r="C8" s="20" t="s">
        <v>9</v>
      </c>
      <c r="D8" s="21">
        <v>198.9</v>
      </c>
      <c r="E8" s="19">
        <v>6.86</v>
      </c>
      <c r="F8" s="25">
        <v>26</v>
      </c>
      <c r="G8" s="25"/>
      <c r="H8" s="25">
        <v>8.32</v>
      </c>
      <c r="I8" s="25">
        <v>39.33</v>
      </c>
      <c r="J8" s="25">
        <v>80.15</v>
      </c>
      <c r="K8" s="25"/>
      <c r="L8" s="25"/>
      <c r="M8" s="25">
        <v>26.46</v>
      </c>
      <c r="N8" s="25"/>
      <c r="O8" s="25"/>
      <c r="P8" s="25"/>
      <c r="Q8" s="25">
        <f>24.51+2.45</f>
        <v>26.96</v>
      </c>
      <c r="R8" s="25"/>
      <c r="S8" s="25"/>
      <c r="T8" s="25"/>
      <c r="U8" s="25"/>
      <c r="V8" s="25">
        <v>21.09</v>
      </c>
    </row>
    <row r="9" spans="1:22" s="24" customFormat="1" ht="8.25">
      <c r="A9" s="18">
        <f t="shared" si="0"/>
        <v>154.95999999999998</v>
      </c>
      <c r="B9" s="19" t="s">
        <v>80</v>
      </c>
      <c r="C9" s="20" t="s">
        <v>12</v>
      </c>
      <c r="D9" s="21">
        <f t="shared" si="1"/>
        <v>154.95999999999998</v>
      </c>
      <c r="E9" s="19"/>
      <c r="F9" s="25"/>
      <c r="G9" s="25"/>
      <c r="H9" s="25"/>
      <c r="I9" s="25">
        <v>69.69</v>
      </c>
      <c r="J9" s="25">
        <f>61.83+6.18</f>
        <v>68.00999999999999</v>
      </c>
      <c r="K9" s="25"/>
      <c r="L9" s="25"/>
      <c r="M9" s="25"/>
      <c r="N9" s="25">
        <v>5.04</v>
      </c>
      <c r="O9" s="25">
        <v>5.6</v>
      </c>
      <c r="P9" s="25"/>
      <c r="Q9" s="25">
        <f>6.02+0.6</f>
        <v>6.619999999999999</v>
      </c>
      <c r="R9" s="25"/>
      <c r="S9" s="25"/>
      <c r="T9" s="25"/>
      <c r="U9" s="25"/>
      <c r="V9" s="25"/>
    </row>
    <row r="10" spans="1:22" s="24" customFormat="1" ht="8.25">
      <c r="A10" s="18"/>
      <c r="B10" s="41" t="s">
        <v>33</v>
      </c>
      <c r="C10" s="15"/>
      <c r="D10" s="37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5"/>
    </row>
    <row r="11" spans="1:22" s="24" customFormat="1" ht="8.25">
      <c r="A11" s="18">
        <f t="shared" si="0"/>
        <v>113.19</v>
      </c>
      <c r="B11" s="19" t="s">
        <v>74</v>
      </c>
      <c r="C11" s="20" t="s">
        <v>12</v>
      </c>
      <c r="D11" s="21">
        <f t="shared" si="1"/>
        <v>113.19</v>
      </c>
      <c r="E11" s="22"/>
      <c r="F11" s="23"/>
      <c r="G11" s="23"/>
      <c r="H11" s="23"/>
      <c r="I11" s="23">
        <v>51.06</v>
      </c>
      <c r="J11" s="23">
        <f>32.06+3.2</f>
        <v>35.260000000000005</v>
      </c>
      <c r="K11" s="23"/>
      <c r="L11" s="23"/>
      <c r="M11" s="23"/>
      <c r="N11" s="23">
        <v>9.24</v>
      </c>
      <c r="O11" s="23"/>
      <c r="P11" s="23"/>
      <c r="Q11" s="23">
        <v>17.63</v>
      </c>
      <c r="R11" s="23"/>
      <c r="S11" s="23"/>
      <c r="T11" s="23"/>
      <c r="U11" s="23"/>
      <c r="V11" s="23"/>
    </row>
    <row r="12" spans="1:22" s="24" customFormat="1" ht="8.25">
      <c r="A12" s="18">
        <f>SUM(0+D12)</f>
        <v>63.62</v>
      </c>
      <c r="B12" s="19" t="s">
        <v>11</v>
      </c>
      <c r="C12" s="20" t="s">
        <v>12</v>
      </c>
      <c r="D12" s="21">
        <f t="shared" si="1"/>
        <v>63.62</v>
      </c>
      <c r="E12" s="22"/>
      <c r="F12" s="23"/>
      <c r="G12" s="23"/>
      <c r="H12" s="23"/>
      <c r="I12" s="23">
        <v>52.44</v>
      </c>
      <c r="J12" s="23"/>
      <c r="K12" s="23"/>
      <c r="L12" s="23"/>
      <c r="M12" s="23"/>
      <c r="N12" s="23"/>
      <c r="O12" s="23"/>
      <c r="P12" s="23"/>
      <c r="Q12" s="23">
        <v>11.18</v>
      </c>
      <c r="R12" s="23"/>
      <c r="S12" s="23"/>
      <c r="T12" s="23"/>
      <c r="U12" s="23"/>
      <c r="V12" s="23"/>
    </row>
    <row r="13" spans="1:22" s="24" customFormat="1" ht="8.25">
      <c r="A13" s="18">
        <f t="shared" si="0"/>
        <v>51.2</v>
      </c>
      <c r="B13" s="19" t="s">
        <v>109</v>
      </c>
      <c r="C13" s="20" t="s">
        <v>12</v>
      </c>
      <c r="D13" s="21">
        <f t="shared" si="1"/>
        <v>51.2</v>
      </c>
      <c r="E13" s="19"/>
      <c r="F13" s="25"/>
      <c r="G13" s="25"/>
      <c r="H13" s="25"/>
      <c r="I13" s="25">
        <v>40.02</v>
      </c>
      <c r="J13" s="25"/>
      <c r="K13" s="25"/>
      <c r="L13" s="25"/>
      <c r="M13" s="25"/>
      <c r="N13" s="25"/>
      <c r="O13" s="25"/>
      <c r="P13" s="25"/>
      <c r="Q13" s="25">
        <v>11.18</v>
      </c>
      <c r="R13" s="25"/>
      <c r="S13" s="25"/>
      <c r="T13" s="25"/>
      <c r="U13" s="25"/>
      <c r="V13" s="25"/>
    </row>
    <row r="14" spans="1:22" s="24" customFormat="1" ht="8.25">
      <c r="A14" s="27">
        <f>SUM(0+D14)</f>
        <v>4.73</v>
      </c>
      <c r="B14" s="19" t="s">
        <v>122</v>
      </c>
      <c r="C14" s="20" t="s">
        <v>9</v>
      </c>
      <c r="D14" s="21">
        <f t="shared" si="1"/>
        <v>4.73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v>4.73</v>
      </c>
      <c r="R14" s="23"/>
      <c r="S14" s="23"/>
      <c r="T14" s="23"/>
      <c r="U14" s="23"/>
      <c r="V14" s="23"/>
    </row>
    <row r="15" spans="3:22" s="24" customFormat="1" ht="8.25">
      <c r="C15" s="5"/>
      <c r="V15" s="29"/>
    </row>
    <row r="16" spans="1:22" s="5" customFormat="1" ht="8.25" customHeight="1">
      <c r="A16" s="1">
        <v>9999</v>
      </c>
      <c r="B16" s="51"/>
      <c r="C16" s="2" t="s">
        <v>4</v>
      </c>
      <c r="D16" s="3" t="s">
        <v>1</v>
      </c>
      <c r="E16" s="3" t="s">
        <v>53</v>
      </c>
      <c r="F16" s="3" t="s">
        <v>50</v>
      </c>
      <c r="G16" s="3" t="s">
        <v>46</v>
      </c>
      <c r="H16" s="3" t="s">
        <v>65</v>
      </c>
      <c r="I16" s="3" t="s">
        <v>45</v>
      </c>
      <c r="J16" s="3" t="s">
        <v>0</v>
      </c>
      <c r="K16" s="3" t="s">
        <v>44</v>
      </c>
      <c r="L16" s="3" t="s">
        <v>101</v>
      </c>
      <c r="M16" s="3" t="s">
        <v>43</v>
      </c>
      <c r="N16" s="3" t="s">
        <v>111</v>
      </c>
      <c r="O16" s="3" t="s">
        <v>114</v>
      </c>
      <c r="P16" s="3" t="s">
        <v>117</v>
      </c>
      <c r="Q16" s="3" t="s">
        <v>47</v>
      </c>
      <c r="R16" s="3" t="s">
        <v>125</v>
      </c>
      <c r="S16" s="3" t="s">
        <v>48</v>
      </c>
      <c r="T16" s="3" t="s">
        <v>129</v>
      </c>
      <c r="U16" s="3" t="s">
        <v>131</v>
      </c>
      <c r="V16" s="4" t="s">
        <v>135</v>
      </c>
    </row>
    <row r="17" spans="1:22" s="5" customFormat="1" ht="8.25" customHeight="1">
      <c r="A17" s="1">
        <v>9998</v>
      </c>
      <c r="B17" s="52" t="s">
        <v>31</v>
      </c>
      <c r="C17" s="6"/>
      <c r="D17" s="7"/>
      <c r="E17" s="7" t="s">
        <v>54</v>
      </c>
      <c r="F17" s="8" t="s">
        <v>62</v>
      </c>
      <c r="G17" s="8" t="s">
        <v>68</v>
      </c>
      <c r="H17" s="8" t="s">
        <v>66</v>
      </c>
      <c r="I17" s="8" t="s">
        <v>107</v>
      </c>
      <c r="J17" s="8" t="s">
        <v>75</v>
      </c>
      <c r="K17" s="8" t="s">
        <v>98</v>
      </c>
      <c r="L17" s="8" t="s">
        <v>102</v>
      </c>
      <c r="M17" s="8" t="s">
        <v>105</v>
      </c>
      <c r="N17" s="8" t="s">
        <v>112</v>
      </c>
      <c r="O17" s="7" t="s">
        <v>116</v>
      </c>
      <c r="P17" s="7" t="s">
        <v>118</v>
      </c>
      <c r="Q17" s="8" t="s">
        <v>120</v>
      </c>
      <c r="R17" s="8" t="s">
        <v>124</v>
      </c>
      <c r="S17" s="8" t="s">
        <v>126</v>
      </c>
      <c r="T17" s="8" t="s">
        <v>130</v>
      </c>
      <c r="U17" s="8" t="s">
        <v>132</v>
      </c>
      <c r="V17" s="9" t="s">
        <v>137</v>
      </c>
    </row>
    <row r="18" spans="1:22" s="13" customFormat="1" ht="8.25" customHeight="1">
      <c r="A18" s="1">
        <v>9997</v>
      </c>
      <c r="B18" s="53"/>
      <c r="C18" s="10"/>
      <c r="D18" s="11"/>
      <c r="E18" s="11" t="s">
        <v>52</v>
      </c>
      <c r="F18" s="11" t="s">
        <v>63</v>
      </c>
      <c r="G18" s="11" t="s">
        <v>69</v>
      </c>
      <c r="H18" s="11" t="s">
        <v>64</v>
      </c>
      <c r="I18" s="11" t="s">
        <v>108</v>
      </c>
      <c r="J18" s="11" t="s">
        <v>76</v>
      </c>
      <c r="K18" s="11" t="s">
        <v>22</v>
      </c>
      <c r="L18" s="11" t="s">
        <v>100</v>
      </c>
      <c r="M18" s="11" t="s">
        <v>104</v>
      </c>
      <c r="N18" s="11" t="s">
        <v>69</v>
      </c>
      <c r="O18" s="11" t="s">
        <v>115</v>
      </c>
      <c r="P18" s="11" t="s">
        <v>119</v>
      </c>
      <c r="Q18" s="40" t="s">
        <v>121</v>
      </c>
      <c r="R18" s="40" t="s">
        <v>123</v>
      </c>
      <c r="S18" s="40" t="s">
        <v>127</v>
      </c>
      <c r="T18" s="11" t="s">
        <v>128</v>
      </c>
      <c r="U18" s="11" t="s">
        <v>133</v>
      </c>
      <c r="V18" s="12" t="s">
        <v>136</v>
      </c>
    </row>
    <row r="19" spans="1:22" s="5" customFormat="1" ht="8.25" customHeight="1">
      <c r="A19" s="1">
        <v>9996</v>
      </c>
      <c r="B19" s="41" t="s">
        <v>2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5"/>
      <c r="V19" s="43"/>
    </row>
    <row r="20" spans="1:22" s="24" customFormat="1" ht="8.25" customHeight="1">
      <c r="A20" s="18">
        <f aca="true" t="shared" si="2" ref="A20:A29">SUM(0+D20)</f>
        <v>344.64</v>
      </c>
      <c r="B20" s="19" t="s">
        <v>13</v>
      </c>
      <c r="C20" s="20" t="s">
        <v>9</v>
      </c>
      <c r="D20" s="21">
        <v>344.64</v>
      </c>
      <c r="E20" s="22">
        <v>86.24</v>
      </c>
      <c r="F20" s="23">
        <v>61.1</v>
      </c>
      <c r="G20" s="23"/>
      <c r="H20" s="23"/>
      <c r="I20" s="23">
        <v>46.92</v>
      </c>
      <c r="J20" s="22">
        <v>38.93</v>
      </c>
      <c r="K20" s="22">
        <v>3.33</v>
      </c>
      <c r="L20" s="22"/>
      <c r="M20" s="22">
        <v>8.91</v>
      </c>
      <c r="N20" s="22">
        <v>19.32</v>
      </c>
      <c r="O20" s="22">
        <v>72.8</v>
      </c>
      <c r="P20" s="22"/>
      <c r="Q20" s="22">
        <v>85.57</v>
      </c>
      <c r="R20" s="22"/>
      <c r="S20" s="22"/>
      <c r="T20" s="42">
        <v>11.04</v>
      </c>
      <c r="U20" s="19">
        <v>20.21</v>
      </c>
      <c r="V20" s="19">
        <v>50.73</v>
      </c>
    </row>
    <row r="21" spans="1:22" s="24" customFormat="1" ht="8.25" customHeight="1">
      <c r="A21" s="18">
        <f t="shared" si="2"/>
        <v>75.53</v>
      </c>
      <c r="B21" s="19" t="s">
        <v>74</v>
      </c>
      <c r="C21" s="20" t="s">
        <v>12</v>
      </c>
      <c r="D21" s="21">
        <f aca="true" t="shared" si="3" ref="D21:D29">SUM(E21:V21)</f>
        <v>75.53</v>
      </c>
      <c r="E21" s="22"/>
      <c r="F21" s="23"/>
      <c r="G21" s="23">
        <v>5.04</v>
      </c>
      <c r="H21" s="23"/>
      <c r="I21" s="23">
        <v>26.91</v>
      </c>
      <c r="J21" s="22">
        <v>29.77</v>
      </c>
      <c r="K21" s="22"/>
      <c r="L21" s="22"/>
      <c r="M21" s="22"/>
      <c r="N21" s="22"/>
      <c r="O21" s="22">
        <v>7.7</v>
      </c>
      <c r="P21" s="22"/>
      <c r="Q21" s="22"/>
      <c r="R21" s="22"/>
      <c r="S21" s="22"/>
      <c r="T21" s="42"/>
      <c r="U21" s="19">
        <v>6.11</v>
      </c>
      <c r="V21" s="19"/>
    </row>
    <row r="22" spans="1:22" s="24" customFormat="1" ht="8.25" customHeight="1">
      <c r="A22" s="18">
        <f t="shared" si="2"/>
        <v>72.02999999999999</v>
      </c>
      <c r="B22" s="19" t="s">
        <v>91</v>
      </c>
      <c r="C22" s="20" t="s">
        <v>92</v>
      </c>
      <c r="D22" s="21">
        <f t="shared" si="3"/>
        <v>72.02999999999999</v>
      </c>
      <c r="E22" s="19"/>
      <c r="F22" s="25"/>
      <c r="G22" s="25"/>
      <c r="H22" s="25"/>
      <c r="I22" s="25"/>
      <c r="J22" s="19">
        <v>43.51</v>
      </c>
      <c r="K22" s="19">
        <v>9.62</v>
      </c>
      <c r="L22" s="19"/>
      <c r="M22" s="19">
        <v>13.77</v>
      </c>
      <c r="N22" s="19"/>
      <c r="O22" s="19"/>
      <c r="P22" s="19"/>
      <c r="Q22" s="19"/>
      <c r="R22" s="19"/>
      <c r="S22" s="19"/>
      <c r="T22" s="42"/>
      <c r="U22" s="19"/>
      <c r="V22" s="19">
        <v>5.13</v>
      </c>
    </row>
    <row r="23" spans="1:22" s="24" customFormat="1" ht="8.25" customHeight="1">
      <c r="A23" s="18">
        <f t="shared" si="2"/>
        <v>71.97</v>
      </c>
      <c r="B23" s="19" t="s">
        <v>59</v>
      </c>
      <c r="C23" s="20" t="s">
        <v>9</v>
      </c>
      <c r="D23" s="21">
        <f t="shared" si="3"/>
        <v>71.97</v>
      </c>
      <c r="E23" s="22">
        <v>8.82</v>
      </c>
      <c r="F23" s="23">
        <v>7.15</v>
      </c>
      <c r="G23" s="23"/>
      <c r="H23" s="23"/>
      <c r="I23" s="23">
        <v>34.5</v>
      </c>
      <c r="J23" s="22"/>
      <c r="K23" s="22"/>
      <c r="L23" s="22"/>
      <c r="M23" s="22"/>
      <c r="N23" s="22"/>
      <c r="O23" s="22"/>
      <c r="P23" s="22"/>
      <c r="Q23" s="22">
        <v>21.5</v>
      </c>
      <c r="R23" s="22"/>
      <c r="S23" s="22"/>
      <c r="T23" s="42"/>
      <c r="U23" s="19"/>
      <c r="V23" s="19"/>
    </row>
    <row r="24" spans="1:22" s="24" customFormat="1" ht="8.25" customHeight="1">
      <c r="A24" s="18">
        <f t="shared" si="2"/>
        <v>52.42</v>
      </c>
      <c r="B24" s="19" t="s">
        <v>11</v>
      </c>
      <c r="C24" s="20" t="s">
        <v>12</v>
      </c>
      <c r="D24" s="21">
        <f t="shared" si="3"/>
        <v>52.42</v>
      </c>
      <c r="E24" s="19">
        <v>8.82</v>
      </c>
      <c r="F24" s="25"/>
      <c r="G24" s="25"/>
      <c r="H24" s="25"/>
      <c r="I24" s="25">
        <v>32.43</v>
      </c>
      <c r="J24" s="19"/>
      <c r="K24" s="19"/>
      <c r="L24" s="19"/>
      <c r="M24" s="19"/>
      <c r="N24" s="19"/>
      <c r="O24" s="19">
        <v>4.9</v>
      </c>
      <c r="P24" s="19"/>
      <c r="Q24" s="19"/>
      <c r="R24" s="19"/>
      <c r="S24" s="19"/>
      <c r="T24" s="42"/>
      <c r="U24" s="19"/>
      <c r="V24" s="19">
        <v>6.27</v>
      </c>
    </row>
    <row r="25" spans="1:22" s="24" customFormat="1" ht="8.25" customHeight="1">
      <c r="A25" s="18"/>
      <c r="B25" s="41" t="s">
        <v>33</v>
      </c>
      <c r="C25" s="15"/>
      <c r="D25" s="37"/>
      <c r="E25" s="48"/>
      <c r="F25" s="49"/>
      <c r="G25" s="49"/>
      <c r="H25" s="49"/>
      <c r="I25" s="49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2"/>
    </row>
    <row r="26" spans="1:22" s="24" customFormat="1" ht="8.25" customHeight="1">
      <c r="A26" s="18">
        <f t="shared" si="2"/>
        <v>36.019999999999996</v>
      </c>
      <c r="B26" s="19" t="s">
        <v>110</v>
      </c>
      <c r="C26" s="20" t="s">
        <v>12</v>
      </c>
      <c r="D26" s="21">
        <f t="shared" si="3"/>
        <v>36.019999999999996</v>
      </c>
      <c r="E26" s="19"/>
      <c r="F26" s="25"/>
      <c r="G26" s="25"/>
      <c r="H26" s="25"/>
      <c r="I26" s="25">
        <v>24.84</v>
      </c>
      <c r="J26" s="19"/>
      <c r="K26" s="19"/>
      <c r="L26" s="19"/>
      <c r="M26" s="19"/>
      <c r="N26" s="19"/>
      <c r="O26" s="19"/>
      <c r="P26" s="19"/>
      <c r="Q26" s="19">
        <v>11.18</v>
      </c>
      <c r="R26" s="19"/>
      <c r="S26" s="19"/>
      <c r="T26" s="42"/>
      <c r="U26" s="19"/>
      <c r="V26" s="19"/>
    </row>
    <row r="27" spans="1:22" s="24" customFormat="1" ht="8.25" customHeight="1">
      <c r="A27" s="18">
        <f t="shared" si="2"/>
        <v>29.58</v>
      </c>
      <c r="B27" s="19" t="s">
        <v>80</v>
      </c>
      <c r="C27" s="20" t="s">
        <v>12</v>
      </c>
      <c r="D27" s="21">
        <f t="shared" si="3"/>
        <v>29.58</v>
      </c>
      <c r="E27" s="19"/>
      <c r="F27" s="25"/>
      <c r="G27" s="25"/>
      <c r="H27" s="25"/>
      <c r="I27" s="25">
        <v>8.97</v>
      </c>
      <c r="J27" s="19">
        <v>20.61</v>
      </c>
      <c r="K27" s="19"/>
      <c r="L27" s="19"/>
      <c r="M27" s="19"/>
      <c r="N27" s="19"/>
      <c r="O27" s="19"/>
      <c r="P27" s="19"/>
      <c r="Q27" s="19"/>
      <c r="R27" s="19"/>
      <c r="S27" s="19"/>
      <c r="T27" s="42"/>
      <c r="U27" s="19"/>
      <c r="V27" s="19"/>
    </row>
    <row r="28" spans="1:22" s="24" customFormat="1" ht="8.25" customHeight="1">
      <c r="A28" s="18">
        <f t="shared" si="2"/>
        <v>23.37</v>
      </c>
      <c r="B28" s="19" t="s">
        <v>55</v>
      </c>
      <c r="C28" s="20" t="s">
        <v>9</v>
      </c>
      <c r="D28" s="21">
        <f t="shared" si="3"/>
        <v>23.37</v>
      </c>
      <c r="E28" s="19"/>
      <c r="F28" s="25"/>
      <c r="G28" s="25"/>
      <c r="H28" s="25"/>
      <c r="I28" s="2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2"/>
      <c r="U28" s="19"/>
      <c r="V28" s="19">
        <v>23.37</v>
      </c>
    </row>
    <row r="29" spans="1:22" s="24" customFormat="1" ht="8.25" customHeight="1">
      <c r="A29" s="18">
        <f t="shared" si="2"/>
        <v>17.94</v>
      </c>
      <c r="B29" s="19" t="s">
        <v>109</v>
      </c>
      <c r="C29" s="20" t="s">
        <v>12</v>
      </c>
      <c r="D29" s="21">
        <f t="shared" si="3"/>
        <v>17.94</v>
      </c>
      <c r="E29" s="22"/>
      <c r="F29" s="23"/>
      <c r="G29" s="23"/>
      <c r="H29" s="23"/>
      <c r="I29" s="23">
        <v>17.94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42"/>
      <c r="U29" s="19"/>
      <c r="V29" s="19"/>
    </row>
    <row r="31" spans="1:22" s="5" customFormat="1" ht="8.25">
      <c r="A31" s="1">
        <v>9999</v>
      </c>
      <c r="B31" s="51"/>
      <c r="C31" s="2" t="s">
        <v>4</v>
      </c>
      <c r="D31" s="3" t="s">
        <v>1</v>
      </c>
      <c r="E31" s="3" t="s">
        <v>53</v>
      </c>
      <c r="F31" s="3" t="s">
        <v>50</v>
      </c>
      <c r="G31" s="3" t="s">
        <v>46</v>
      </c>
      <c r="H31" s="3" t="s">
        <v>65</v>
      </c>
      <c r="I31" s="3" t="s">
        <v>45</v>
      </c>
      <c r="J31" s="3" t="s">
        <v>0</v>
      </c>
      <c r="K31" s="3" t="s">
        <v>44</v>
      </c>
      <c r="L31" s="3" t="s">
        <v>101</v>
      </c>
      <c r="M31" s="3" t="s">
        <v>43</v>
      </c>
      <c r="N31" s="3" t="s">
        <v>111</v>
      </c>
      <c r="O31" s="3" t="s">
        <v>114</v>
      </c>
      <c r="P31" s="3" t="s">
        <v>117</v>
      </c>
      <c r="Q31" s="3" t="s">
        <v>47</v>
      </c>
      <c r="R31" s="3" t="s">
        <v>125</v>
      </c>
      <c r="S31" s="3" t="s">
        <v>48</v>
      </c>
      <c r="T31" s="3" t="s">
        <v>129</v>
      </c>
      <c r="U31" s="3" t="s">
        <v>131</v>
      </c>
      <c r="V31" s="4" t="s">
        <v>135</v>
      </c>
    </row>
    <row r="32" spans="1:22" s="5" customFormat="1" ht="8.25">
      <c r="A32" s="1">
        <v>9998</v>
      </c>
      <c r="B32" s="52" t="s">
        <v>30</v>
      </c>
      <c r="C32" s="6"/>
      <c r="D32" s="7"/>
      <c r="E32" s="7" t="s">
        <v>54</v>
      </c>
      <c r="F32" s="8" t="s">
        <v>62</v>
      </c>
      <c r="G32" s="8" t="s">
        <v>68</v>
      </c>
      <c r="H32" s="8" t="s">
        <v>66</v>
      </c>
      <c r="I32" s="8" t="s">
        <v>107</v>
      </c>
      <c r="J32" s="8" t="s">
        <v>75</v>
      </c>
      <c r="K32" s="8" t="s">
        <v>98</v>
      </c>
      <c r="L32" s="8" t="s">
        <v>102</v>
      </c>
      <c r="M32" s="8" t="s">
        <v>105</v>
      </c>
      <c r="N32" s="8" t="s">
        <v>112</v>
      </c>
      <c r="O32" s="7" t="s">
        <v>116</v>
      </c>
      <c r="P32" s="7" t="s">
        <v>118</v>
      </c>
      <c r="Q32" s="8" t="s">
        <v>120</v>
      </c>
      <c r="R32" s="8" t="s">
        <v>124</v>
      </c>
      <c r="S32" s="8" t="s">
        <v>126</v>
      </c>
      <c r="T32" s="8" t="s">
        <v>130</v>
      </c>
      <c r="U32" s="8" t="s">
        <v>132</v>
      </c>
      <c r="V32" s="9" t="s">
        <v>137</v>
      </c>
    </row>
    <row r="33" spans="1:22" s="13" customFormat="1" ht="8.25">
      <c r="A33" s="1">
        <v>9997</v>
      </c>
      <c r="B33" s="53"/>
      <c r="C33" s="10"/>
      <c r="D33" s="11"/>
      <c r="E33" s="11" t="s">
        <v>52</v>
      </c>
      <c r="F33" s="11" t="s">
        <v>63</v>
      </c>
      <c r="G33" s="11" t="s">
        <v>69</v>
      </c>
      <c r="H33" s="11" t="s">
        <v>64</v>
      </c>
      <c r="I33" s="11" t="s">
        <v>108</v>
      </c>
      <c r="J33" s="11" t="s">
        <v>76</v>
      </c>
      <c r="K33" s="11" t="s">
        <v>22</v>
      </c>
      <c r="L33" s="11" t="s">
        <v>100</v>
      </c>
      <c r="M33" s="11" t="s">
        <v>104</v>
      </c>
      <c r="N33" s="11" t="s">
        <v>69</v>
      </c>
      <c r="O33" s="11" t="s">
        <v>115</v>
      </c>
      <c r="P33" s="11" t="s">
        <v>119</v>
      </c>
      <c r="Q33" s="40" t="s">
        <v>121</v>
      </c>
      <c r="R33" s="40" t="s">
        <v>123</v>
      </c>
      <c r="S33" s="40" t="s">
        <v>127</v>
      </c>
      <c r="T33" s="11" t="s">
        <v>128</v>
      </c>
      <c r="U33" s="11" t="s">
        <v>133</v>
      </c>
      <c r="V33" s="12" t="s">
        <v>136</v>
      </c>
    </row>
    <row r="34" spans="1:22" s="5" customFormat="1" ht="8.25">
      <c r="A34" s="1">
        <v>9996</v>
      </c>
      <c r="B34" s="41" t="s">
        <v>2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5"/>
    </row>
    <row r="35" spans="1:22" s="24" customFormat="1" ht="8.25">
      <c r="A35" s="18">
        <f>SUM(0+D35)</f>
        <v>315.68</v>
      </c>
      <c r="B35" s="19" t="s">
        <v>13</v>
      </c>
      <c r="C35" s="20" t="s">
        <v>9</v>
      </c>
      <c r="D35" s="21">
        <v>315.68</v>
      </c>
      <c r="E35" s="22">
        <v>83.3</v>
      </c>
      <c r="F35" s="22">
        <v>58.5</v>
      </c>
      <c r="G35" s="22"/>
      <c r="H35" s="22"/>
      <c r="I35" s="22">
        <v>43.47</v>
      </c>
      <c r="J35" s="22">
        <v>38.93</v>
      </c>
      <c r="K35" s="22">
        <v>3.33</v>
      </c>
      <c r="L35" s="22"/>
      <c r="M35" s="22"/>
      <c r="N35" s="22">
        <v>11.76</v>
      </c>
      <c r="O35" s="22">
        <v>51.1</v>
      </c>
      <c r="P35" s="22"/>
      <c r="Q35" s="22">
        <v>83.85</v>
      </c>
      <c r="R35" s="22"/>
      <c r="S35" s="22"/>
      <c r="T35" s="22"/>
      <c r="U35" s="22"/>
      <c r="V35" s="22">
        <v>47.31</v>
      </c>
    </row>
    <row r="36" spans="1:22" s="24" customFormat="1" ht="8.25">
      <c r="A36" s="18">
        <f>SUM(0+D36)</f>
        <v>71.97</v>
      </c>
      <c r="B36" s="19" t="s">
        <v>57</v>
      </c>
      <c r="C36" s="20" t="s">
        <v>9</v>
      </c>
      <c r="D36" s="21">
        <v>71.97</v>
      </c>
      <c r="E36" s="21">
        <v>8.82</v>
      </c>
      <c r="F36" s="21">
        <v>7.15</v>
      </c>
      <c r="G36" s="21"/>
      <c r="H36" s="21"/>
      <c r="I36" s="21">
        <v>34.5</v>
      </c>
      <c r="J36" s="21"/>
      <c r="K36" s="21"/>
      <c r="L36" s="21"/>
      <c r="M36" s="21"/>
      <c r="N36" s="21"/>
      <c r="O36" s="21"/>
      <c r="P36" s="21"/>
      <c r="Q36" s="21">
        <v>21.5</v>
      </c>
      <c r="R36" s="21"/>
      <c r="S36" s="21"/>
      <c r="T36" s="21"/>
      <c r="U36" s="21"/>
      <c r="V36" s="21"/>
    </row>
    <row r="37" spans="1:22" s="24" customFormat="1" ht="8.25">
      <c r="A37" s="18">
        <f>SUM(0+D37)</f>
        <v>29.58</v>
      </c>
      <c r="B37" s="19" t="s">
        <v>80</v>
      </c>
      <c r="C37" s="20" t="s">
        <v>12</v>
      </c>
      <c r="D37" s="21">
        <f>SUM(E37:V37)</f>
        <v>29.58</v>
      </c>
      <c r="E37" s="22"/>
      <c r="F37" s="22"/>
      <c r="G37" s="22"/>
      <c r="H37" s="22"/>
      <c r="I37" s="22">
        <v>8.97</v>
      </c>
      <c r="J37" s="22">
        <v>20.61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4" customFormat="1" ht="8.25">
      <c r="A38" s="18">
        <f>SUM(0+D38)</f>
        <v>26.91</v>
      </c>
      <c r="B38" s="19" t="s">
        <v>11</v>
      </c>
      <c r="C38" s="20" t="s">
        <v>12</v>
      </c>
      <c r="D38" s="21">
        <f>SUM(E38:V38)</f>
        <v>26.91</v>
      </c>
      <c r="E38" s="21"/>
      <c r="F38" s="21"/>
      <c r="G38" s="21"/>
      <c r="H38" s="21"/>
      <c r="I38" s="21">
        <v>26.91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24" customFormat="1" ht="8.25">
      <c r="A39" s="18">
        <f>SUM(0+D39)</f>
        <v>23.37</v>
      </c>
      <c r="B39" s="19" t="s">
        <v>55</v>
      </c>
      <c r="C39" s="20" t="s">
        <v>9</v>
      </c>
      <c r="D39" s="21">
        <f>SUM(E39:V39)</f>
        <v>23.37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>
        <v>23.37</v>
      </c>
    </row>
    <row r="40" spans="1:22" s="24" customFormat="1" ht="8.25">
      <c r="A40" s="18"/>
      <c r="B40" s="41" t="s">
        <v>33</v>
      </c>
      <c r="C40" s="15"/>
      <c r="D40" s="3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8"/>
    </row>
    <row r="41" spans="1:22" s="24" customFormat="1" ht="8.25">
      <c r="A41" s="18">
        <f>SUM(0+D41)</f>
        <v>17.94</v>
      </c>
      <c r="B41" s="19" t="s">
        <v>109</v>
      </c>
      <c r="C41" s="20" t="s">
        <v>12</v>
      </c>
      <c r="D41" s="21">
        <f>SUM(E41:V41)</f>
        <v>17.94</v>
      </c>
      <c r="E41" s="22"/>
      <c r="F41" s="22"/>
      <c r="G41" s="22"/>
      <c r="H41" s="22"/>
      <c r="I41" s="22">
        <v>17.94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</sheetData>
  <sheetProtection password="CC6F" sheet="1" objects="1" scenarios="1"/>
  <printOptions/>
  <pageMargins left="0.037401575" right="0.287401575" top="0.984251969" bottom="0.984251969" header="0.492125985" footer="0.492125985"/>
  <pageSetup horizontalDpi="300" verticalDpi="300" orientation="landscape" paperSize="9" r:id="rId1"/>
  <headerFooter alignWithMargins="0">
    <oddHeader>&amp;CRANKING CENTRO-OESTE DAS RAÇAS PÔNEIS - 2004
RAÇA PÔNEI BRASILEIRO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ABCC PONEI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ABCC PONEI</dc:creator>
  <cp:keywords/>
  <dc:description/>
  <cp:lastModifiedBy>ABCC</cp:lastModifiedBy>
  <cp:lastPrinted>2011-08-17T19:05:34Z</cp:lastPrinted>
  <dcterms:created xsi:type="dcterms:W3CDTF">2001-01-31T17:18:15Z</dcterms:created>
  <dcterms:modified xsi:type="dcterms:W3CDTF">2012-04-24T19:45:46Z</dcterms:modified>
  <cp:category/>
  <cp:version/>
  <cp:contentType/>
  <cp:contentStatus/>
</cp:coreProperties>
</file>